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5" windowWidth="14610" windowHeight="1405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2号楼" sheetId="9" r:id="rId18"/>
    <sheet name="成本法" sheetId="68" state="hidden" r:id="rId19"/>
    <sheet name="成本法 (元)" sheetId="69" state="hidden" r:id="rId20"/>
    <sheet name="假设开发法" sheetId="12" state="hidden" r:id="rId21"/>
    <sheet name="收益法12号楼"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2号楼"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13号楼" sheetId="85" r:id="rId34"/>
    <sheet name="收益法13号楼" sheetId="83"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办公13号楼" sheetId="84" r:id="rId48"/>
    <sheet name="土地案例" sheetId="81" state="hidden" r:id="rId49"/>
    <sheet name="租赁情况" sheetId="82" r:id="rId50"/>
  </sheets>
  <externalReferences>
    <externalReference r:id="rId51"/>
  </externalReferences>
  <definedNames>
    <definedName name="_xlnm._FilterDatabase" localSheetId="27" hidden="1">'比较法-办公12号楼'!$A$1:$L$50</definedName>
    <definedName name="_xlnm._FilterDatabase" localSheetId="47" hidden="1">'比较法-办公13号楼'!$A$1:$L$50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'比较法-办公12号楼'!$A$1:$K$55,'比较法-办公12号楼'!$A$58:$M$132</definedName>
    <definedName name="_xlnm.Print_Area" localSheetId="47">'比较法-办公13号楼'!$A$1:$K$55,'比较法-办公13号楼'!$A$58:$M$132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结果表12号楼!$A$1:$I$127</definedName>
    <definedName name="_xlnm.Print_Area" localSheetId="33">结果表13号楼!$A$1:$I$127</definedName>
    <definedName name="_xlnm.Print_Area" localSheetId="22">'收益法 (元)'!$A$1:$F$43,'收益法 (元)'!$H$3:$M$29,'收益法 (元)'!$A$45:$F$71,'收益法 (元)'!$I$46:$N$65</definedName>
    <definedName name="_xlnm.Print_Area" localSheetId="24">'收益法（汇总）'!$A$1:$F$13</definedName>
    <definedName name="_xlnm.Print_Area" localSheetId="21">收益法12号楼!$A$1:$F$43,收益法12号楼!$H$3:$M$29,收益法12号楼!$A$46:$F$71,收益法12号楼!$I$46:$N$65</definedName>
    <definedName name="_xlnm.Print_Area" localSheetId="34">收益法13号楼!$A$1:$F$43,收益法13号楼!$H$3:$M$29,收益法13号楼!$A$46:$F$71,收益法13号楼!$I$46:$N$65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'比较法-办公13号楼'!$B$119:$M$119</definedName>
    <definedName name="办公层高">'比较法-办公12号楼'!$B$119:$M$119</definedName>
    <definedName name="办公朝向" localSheetId="47">'比较法-办公13号楼'!$B$91:$M$91</definedName>
    <definedName name="办公朝向">'比较法-办公12号楼'!$B$91:$M$91</definedName>
    <definedName name="办公道路级别" localSheetId="47">'比较法-办公13号楼'!$B$87:$M$87</definedName>
    <definedName name="办公道路级别">'比较法-办公12号楼'!$B$87:$M$87</definedName>
    <definedName name="办公公共部分装修" localSheetId="47">'比较法-办公13号楼'!$B$108:$M$108</definedName>
    <definedName name="办公公共部分装修">'比较法-办公12号楼'!$B$108:$M$108</definedName>
    <definedName name="办公基础设施水平" localSheetId="47">'比较法-办公13号楼'!$B$117:$M$117</definedName>
    <definedName name="办公基础设施水平">'比较法-办公12号楼'!$B$117:$M$117</definedName>
    <definedName name="办公集聚程度">定义!$M$1:$M$6</definedName>
    <definedName name="办公建筑结构" localSheetId="47">'比较法-办公13号楼'!$B$106:$M$106</definedName>
    <definedName name="办公建筑结构">'比较法-办公12号楼'!$B$106:$M$106</definedName>
    <definedName name="办公建筑类型" localSheetId="47">'比较法-办公13号楼'!$B$101:$M$101</definedName>
    <definedName name="办公建筑类型">'比较法-办公12号楼'!$B$101:$M$101</definedName>
    <definedName name="办公交易情况" localSheetId="47">'比较法-办公13号楼'!$A$62:$M$62</definedName>
    <definedName name="办公交易情况">'比较法-办公12号楼'!$A$62:$M$62</definedName>
    <definedName name="办公楼层" localSheetId="47">'比较法-办公13号楼'!$B$89:$M$89</definedName>
    <definedName name="办公楼层">'比较法-办公12号楼'!$B$89:$M$89</definedName>
    <definedName name="办公内部装修" localSheetId="47">'比较法-办公13号楼'!$B$123:$M$123</definedName>
    <definedName name="办公内部装修">'比较法-办公12号楼'!$B$123:$M$123</definedName>
    <definedName name="办公物业管理" localSheetId="47">'比较法-办公13号楼'!$B$115:$M$115</definedName>
    <definedName name="办公物业管理">'比较法-办公12号楼'!$B$115:$M$115</definedName>
    <definedName name="办公用途" localSheetId="47">'比较法-办公13号楼'!$B$64:$M$64</definedName>
    <definedName name="办公用途">'比较法-办公12号楼'!$B$64:$M$64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7">'比较法-办公13号楼'!$B$113:$M$113</definedName>
    <definedName name="写字楼等级">'比较法-办公12号楼'!$B$113:$M$113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19" i="1" l="1"/>
  <c r="Z6" i="1"/>
  <c r="Z7" i="1"/>
  <c r="J20" i="85"/>
  <c r="J20" i="9"/>
  <c r="D65" i="84" l="1"/>
  <c r="AF7" i="1"/>
  <c r="AF6" i="1"/>
  <c r="AD7" i="1"/>
  <c r="AD6" i="1"/>
  <c r="H11" i="82"/>
  <c r="H10" i="82"/>
  <c r="U7" i="1"/>
  <c r="U6" i="1"/>
  <c r="G11" i="82"/>
  <c r="G10" i="82"/>
  <c r="F11" i="82"/>
  <c r="F10" i="82"/>
  <c r="E11" i="82"/>
  <c r="E10" i="82"/>
  <c r="D11" i="82"/>
  <c r="D10" i="82"/>
  <c r="H13" i="4"/>
  <c r="G13" i="4"/>
  <c r="F6" i="82"/>
  <c r="C45" i="84" l="1"/>
  <c r="C34" i="84" l="1"/>
  <c r="L7" i="1" l="1"/>
  <c r="K24" i="1"/>
  <c r="K23" i="1"/>
  <c r="F52" i="84" l="1"/>
  <c r="F7" i="82"/>
  <c r="E52" i="84"/>
  <c r="N18" i="1"/>
  <c r="I14" i="3"/>
  <c r="K33" i="84" l="1"/>
  <c r="K27" i="84"/>
  <c r="K23" i="84"/>
  <c r="D86" i="84" s="1"/>
  <c r="K21" i="84"/>
  <c r="K19" i="84"/>
  <c r="K17" i="84"/>
  <c r="K15" i="84"/>
  <c r="K44" i="84"/>
  <c r="K43" i="84"/>
  <c r="K41" i="84"/>
  <c r="K40" i="84"/>
  <c r="K39" i="84"/>
  <c r="K37" i="84"/>
  <c r="K36" i="84"/>
  <c r="K35" i="84"/>
  <c r="A120" i="85"/>
  <c r="A118" i="85"/>
  <c r="E111" i="85"/>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M47" i="85"/>
  <c r="F33" i="85"/>
  <c r="D27" i="85"/>
  <c r="C25" i="85"/>
  <c r="C24" i="85"/>
  <c r="M18" i="85"/>
  <c r="B118" i="85" s="1"/>
  <c r="B15" i="74" s="1"/>
  <c r="D17" i="85"/>
  <c r="C17" i="85"/>
  <c r="C18" i="85" s="1"/>
  <c r="D18" i="85" s="1"/>
  <c r="L4" i="85"/>
  <c r="K4" i="85"/>
  <c r="A2" i="85"/>
  <c r="H1" i="85"/>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D112" i="84"/>
  <c r="E112" i="84" s="1"/>
  <c r="F112" i="84" s="1"/>
  <c r="G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D104" i="84"/>
  <c r="E104" i="84" s="1"/>
  <c r="M103" i="84"/>
  <c r="L103" i="84"/>
  <c r="K103" i="84"/>
  <c r="J103" i="84"/>
  <c r="I103" i="84"/>
  <c r="H103" i="84"/>
  <c r="E102" i="84"/>
  <c r="F102" i="84" s="1"/>
  <c r="G102" i="84" s="1"/>
  <c r="H102" i="84" s="1"/>
  <c r="I102" i="84" s="1"/>
  <c r="J102" i="84" s="1"/>
  <c r="K102" i="84" s="1"/>
  <c r="L102" i="84" s="1"/>
  <c r="M102" i="84" s="1"/>
  <c r="D102" i="84"/>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E88" i="84"/>
  <c r="F88" i="84" s="1"/>
  <c r="G88" i="84" s="1"/>
  <c r="H88" i="84" s="1"/>
  <c r="I88" i="84" s="1"/>
  <c r="J88" i="84" s="1"/>
  <c r="K88" i="84" s="1"/>
  <c r="L88" i="84" s="1"/>
  <c r="M88" i="84" s="1"/>
  <c r="D88" i="84"/>
  <c r="D84" i="84"/>
  <c r="E84" i="84" s="1"/>
  <c r="F84" i="84" s="1"/>
  <c r="G84" i="84" s="1"/>
  <c r="D82" i="84"/>
  <c r="E82" i="84" s="1"/>
  <c r="D80" i="84"/>
  <c r="E80" i="84" s="1"/>
  <c r="D78" i="84"/>
  <c r="E78" i="84" s="1"/>
  <c r="B75" i="84"/>
  <c r="B73" i="84"/>
  <c r="B71" i="84"/>
  <c r="D70" i="84"/>
  <c r="E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Z25" i="84"/>
  <c r="Q25" i="84"/>
  <c r="J25" i="84"/>
  <c r="AC25" i="84" s="1"/>
  <c r="H25" i="84"/>
  <c r="AB25" i="84" s="1"/>
  <c r="F25" i="84"/>
  <c r="AA25" i="84" s="1"/>
  <c r="Z23" i="84"/>
  <c r="Q23" i="84"/>
  <c r="C23" i="84"/>
  <c r="Q21" i="84"/>
  <c r="Z21" i="84" s="1"/>
  <c r="J21" i="84"/>
  <c r="AC21" i="84" s="1"/>
  <c r="H21" i="84"/>
  <c r="AB21" i="84" s="1"/>
  <c r="F21" i="84"/>
  <c r="AA21" i="84" s="1"/>
  <c r="C21" i="84"/>
  <c r="Q19" i="84"/>
  <c r="Z19" i="84" s="1"/>
  <c r="C19" i="84"/>
  <c r="Q17" i="84"/>
  <c r="Z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AA8" i="84"/>
  <c r="S8" i="84"/>
  <c r="J8" i="84"/>
  <c r="W8" i="84" s="1"/>
  <c r="H8" i="84"/>
  <c r="U8" i="84" s="1"/>
  <c r="F8" i="84"/>
  <c r="G7" i="84"/>
  <c r="H7" i="84" s="1"/>
  <c r="C7" i="84"/>
  <c r="C59" i="84" s="1"/>
  <c r="D59" i="84" s="1"/>
  <c r="E59" i="84" s="1"/>
  <c r="F59" i="84" s="1"/>
  <c r="G59" i="84" s="1"/>
  <c r="H59" i="84" s="1"/>
  <c r="I59" i="84" s="1"/>
  <c r="J59" i="84" s="1"/>
  <c r="K59" i="84" s="1"/>
  <c r="L59" i="84" s="1"/>
  <c r="M59" i="84" s="1"/>
  <c r="N59" i="84" s="1"/>
  <c r="O59" i="84" s="1"/>
  <c r="D3" i="84"/>
  <c r="J49" i="15"/>
  <c r="J49" i="83"/>
  <c r="Q72" i="83"/>
  <c r="Q59" i="83"/>
  <c r="K59" i="83"/>
  <c r="P74" i="83" s="1"/>
  <c r="F59" i="83"/>
  <c r="Q58" i="83"/>
  <c r="Q51" i="83"/>
  <c r="J51" i="83"/>
  <c r="J50" i="83"/>
  <c r="M47" i="83"/>
  <c r="D46" i="83"/>
  <c r="F34" i="83"/>
  <c r="F62" i="83" s="1"/>
  <c r="F33" i="83"/>
  <c r="F61" i="83" s="1"/>
  <c r="F32" i="83"/>
  <c r="F60" i="83" s="1"/>
  <c r="F31" i="83"/>
  <c r="F28" i="83"/>
  <c r="C28" i="83" s="1"/>
  <c r="F23" i="83"/>
  <c r="D23" i="83" s="1"/>
  <c r="F21" i="83"/>
  <c r="M20" i="83"/>
  <c r="F20" i="83"/>
  <c r="M19" i="83"/>
  <c r="M18" i="83"/>
  <c r="F18" i="83"/>
  <c r="M17" i="83"/>
  <c r="F17" i="83"/>
  <c r="F15" i="83"/>
  <c r="G1" i="83"/>
  <c r="W19" i="1"/>
  <c r="W18" i="1"/>
  <c r="V19" i="1"/>
  <c r="U19" i="1"/>
  <c r="V18" i="1"/>
  <c r="U18" i="1"/>
  <c r="G20" i="6"/>
  <c r="F20" i="6"/>
  <c r="K14" i="3"/>
  <c r="E104" i="34"/>
  <c r="F104" i="34"/>
  <c r="G104" i="34" s="1"/>
  <c r="D104" i="34"/>
  <c r="C76" i="83"/>
  <c r="D2" i="84"/>
  <c r="J23" i="84" l="1"/>
  <c r="AC23" i="84" s="1"/>
  <c r="F23" i="84"/>
  <c r="S23" i="84" s="1"/>
  <c r="E86" i="84"/>
  <c r="F86" i="84" s="1"/>
  <c r="G86" i="84" s="1"/>
  <c r="H23" i="84"/>
  <c r="U23" i="84" s="1"/>
  <c r="D24" i="83"/>
  <c r="F82" i="84"/>
  <c r="G82" i="84" s="1"/>
  <c r="J19" i="84"/>
  <c r="AC19" i="84" s="1"/>
  <c r="H19" i="84"/>
  <c r="AB19" i="84" s="1"/>
  <c r="F19" i="84"/>
  <c r="AA19" i="84" s="1"/>
  <c r="F78" i="84"/>
  <c r="G78" i="84" s="1"/>
  <c r="F15" i="84"/>
  <c r="AA15" i="84" s="1"/>
  <c r="J15" i="84"/>
  <c r="AC15" i="84" s="1"/>
  <c r="H15" i="84"/>
  <c r="AB15" i="84" s="1"/>
  <c r="F70" i="84"/>
  <c r="J37" i="84"/>
  <c r="AC37" i="84" s="1"/>
  <c r="F80" i="84"/>
  <c r="G80" i="84" s="1"/>
  <c r="H17" i="84"/>
  <c r="AB17" i="84" s="1"/>
  <c r="F17" i="84"/>
  <c r="AA17" i="84" s="1"/>
  <c r="J17" i="84"/>
  <c r="AC17" i="84" s="1"/>
  <c r="D121" i="85"/>
  <c r="K120" i="85"/>
  <c r="C92" i="85"/>
  <c r="C94" i="85"/>
  <c r="H109" i="85"/>
  <c r="A126" i="85"/>
  <c r="AB7" i="84"/>
  <c r="U7" i="84"/>
  <c r="J7" i="84"/>
  <c r="U9" i="84"/>
  <c r="S13" i="84"/>
  <c r="U14" i="84"/>
  <c r="U21" i="84"/>
  <c r="S25" i="84"/>
  <c r="H112" i="84"/>
  <c r="I112" i="84" s="1"/>
  <c r="J112" i="84" s="1"/>
  <c r="K112" i="84" s="1"/>
  <c r="L112" i="84" s="1"/>
  <c r="M112" i="84" s="1"/>
  <c r="F37" i="84"/>
  <c r="AB8" i="84"/>
  <c r="W9" i="84"/>
  <c r="U13" i="84"/>
  <c r="W14" i="84"/>
  <c r="W21" i="84"/>
  <c r="F7" i="84"/>
  <c r="W10" i="84"/>
  <c r="S12" i="84"/>
  <c r="H34" i="84"/>
  <c r="J34" i="84"/>
  <c r="AC8" i="84"/>
  <c r="S10" i="84"/>
  <c r="U12" i="84"/>
  <c r="W13" i="84"/>
  <c r="S9" i="84"/>
  <c r="U10" i="84"/>
  <c r="W12" i="84"/>
  <c r="S14" i="84"/>
  <c r="S21" i="84"/>
  <c r="F104" i="84"/>
  <c r="D103" i="84"/>
  <c r="S27" i="84"/>
  <c r="U28" i="84"/>
  <c r="W29" i="84"/>
  <c r="S31" i="84"/>
  <c r="U32" i="84"/>
  <c r="W33" i="84"/>
  <c r="S36" i="84"/>
  <c r="U38" i="84"/>
  <c r="W39" i="84"/>
  <c r="S41" i="84"/>
  <c r="U42" i="84"/>
  <c r="W43" i="84"/>
  <c r="S45" i="84"/>
  <c r="U46" i="84"/>
  <c r="W47" i="84"/>
  <c r="U27" i="84"/>
  <c r="W28" i="84"/>
  <c r="S30" i="84"/>
  <c r="U31" i="84"/>
  <c r="W32" i="84"/>
  <c r="S35" i="84"/>
  <c r="U36" i="84"/>
  <c r="H37" i="84"/>
  <c r="W38" i="84"/>
  <c r="S40" i="84"/>
  <c r="U41" i="84"/>
  <c r="W42" i="84"/>
  <c r="S44" i="84"/>
  <c r="U45" i="84"/>
  <c r="W46" i="84"/>
  <c r="U25" i="84"/>
  <c r="W27" i="84"/>
  <c r="S29" i="84"/>
  <c r="U30" i="84"/>
  <c r="W31" i="84"/>
  <c r="S33" i="84"/>
  <c r="U35" i="84"/>
  <c r="W36" i="84"/>
  <c r="S39" i="84"/>
  <c r="U40" i="84"/>
  <c r="W41" i="84"/>
  <c r="S43" i="84"/>
  <c r="U44" i="84"/>
  <c r="W45" i="84"/>
  <c r="S47" i="84"/>
  <c r="W25" i="84"/>
  <c r="S28" i="84"/>
  <c r="U29" i="84"/>
  <c r="W30" i="84"/>
  <c r="S32" i="84"/>
  <c r="U33" i="84"/>
  <c r="W35" i="84"/>
  <c r="S38" i="84"/>
  <c r="U39" i="84"/>
  <c r="W40" i="84"/>
  <c r="S42" i="84"/>
  <c r="U43" i="84"/>
  <c r="W44" i="84"/>
  <c r="S46" i="84"/>
  <c r="U47" i="84"/>
  <c r="C103" i="84"/>
  <c r="Q71" i="83"/>
  <c r="D22" i="83"/>
  <c r="P61" i="83"/>
  <c r="G7" i="34"/>
  <c r="F13" i="83"/>
  <c r="M8" i="83"/>
  <c r="J15" i="83"/>
  <c r="M26" i="83"/>
  <c r="M9" i="83"/>
  <c r="F37" i="83"/>
  <c r="F6" i="83"/>
  <c r="M23" i="83"/>
  <c r="F40" i="83"/>
  <c r="F8" i="83"/>
  <c r="F16" i="83"/>
  <c r="M6" i="83"/>
  <c r="M28" i="83"/>
  <c r="W23" i="84" l="1"/>
  <c r="AA23" i="84"/>
  <c r="AB23" i="84"/>
  <c r="W37" i="84"/>
  <c r="S19" i="84"/>
  <c r="W19" i="84"/>
  <c r="U19" i="84"/>
  <c r="U15" i="84"/>
  <c r="S15" i="84"/>
  <c r="W15" i="84"/>
  <c r="G70" i="84"/>
  <c r="H70" i="84" s="1"/>
  <c r="I70" i="84" s="1"/>
  <c r="J70" i="84" s="1"/>
  <c r="K70" i="84" s="1"/>
  <c r="L70" i="84" s="1"/>
  <c r="M70" i="84" s="1"/>
  <c r="S17" i="84"/>
  <c r="W17" i="84"/>
  <c r="U17" i="84"/>
  <c r="D124" i="85"/>
  <c r="D125" i="85" s="1"/>
  <c r="H110" i="85"/>
  <c r="AB37" i="84"/>
  <c r="U37" i="84"/>
  <c r="F103" i="84"/>
  <c r="G104" i="84"/>
  <c r="G103" i="84" s="1"/>
  <c r="AA37" i="84"/>
  <c r="S37" i="84"/>
  <c r="AB34" i="84"/>
  <c r="U34" i="84"/>
  <c r="AC34" i="84"/>
  <c r="W34" i="84"/>
  <c r="E103" i="84"/>
  <c r="F34" i="84"/>
  <c r="S7" i="84"/>
  <c r="AA7" i="84"/>
  <c r="W7" i="84"/>
  <c r="AC7" i="84"/>
  <c r="F51" i="83"/>
  <c r="F65" i="83"/>
  <c r="F68" i="83"/>
  <c r="AM7" i="1"/>
  <c r="AL7" i="1"/>
  <c r="AK7" i="1"/>
  <c r="M24" i="1"/>
  <c r="K22" i="1"/>
  <c r="F42" i="83"/>
  <c r="F9" i="83"/>
  <c r="M22" i="83"/>
  <c r="M24" i="83"/>
  <c r="F38" i="83"/>
  <c r="F26" i="83"/>
  <c r="F36" i="83"/>
  <c r="F66" i="83" l="1"/>
  <c r="F64" i="83"/>
  <c r="C27" i="83"/>
  <c r="AA34" i="84"/>
  <c r="S34" i="84"/>
  <c r="M27" i="1"/>
  <c r="K28" i="1"/>
  <c r="K26" i="1"/>
  <c r="M26" i="1" s="1"/>
  <c r="K25" i="1"/>
  <c r="M25" i="1" s="1"/>
  <c r="M23" i="1"/>
  <c r="M22" i="1" s="1"/>
  <c r="M28" i="1" l="1"/>
  <c r="L28" i="1"/>
  <c r="L22" i="1"/>
  <c r="J7" i="1" l="1"/>
  <c r="I7" i="1"/>
  <c r="H7" i="1"/>
  <c r="C7" i="1"/>
  <c r="F19" i="6"/>
  <c r="N6" i="1"/>
  <c r="C37" i="34" l="1"/>
  <c r="N7" i="1"/>
  <c r="D3" i="4"/>
  <c r="I38" i="39" l="1"/>
  <c r="G38" i="39"/>
  <c r="E38" i="39"/>
  <c r="I46" i="39"/>
  <c r="G46" i="39"/>
  <c r="E46" i="39"/>
  <c r="I7" i="39"/>
  <c r="G7" i="39"/>
  <c r="E7" i="39"/>
  <c r="I5" i="39"/>
  <c r="G5" i="39"/>
  <c r="E5" i="39"/>
  <c r="D117" i="39"/>
  <c r="E117" i="39" s="1"/>
  <c r="F117" i="39" s="1"/>
  <c r="Y6" i="1" l="1"/>
  <c r="Y7"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3"/>
  <c r="N59" i="83" l="1"/>
  <c r="L59" i="83"/>
  <c r="I2" i="43"/>
  <c r="M1" i="43" s="1"/>
  <c r="Q61" i="83" l="1"/>
  <c r="Q74"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7" i="43"/>
  <c r="H94" i="43"/>
  <c r="H101" i="43"/>
  <c r="H95" i="43"/>
  <c r="H93"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J47" i="34" s="1"/>
  <c r="AC47" i="34" s="1"/>
  <c r="B129" i="34"/>
  <c r="B127" i="34"/>
  <c r="H45" i="34" s="1"/>
  <c r="B99" i="34"/>
  <c r="J32" i="34" s="1"/>
  <c r="W32" i="34" s="1"/>
  <c r="B97" i="34"/>
  <c r="H31" i="34" s="1"/>
  <c r="AB31" i="34" s="1"/>
  <c r="B95" i="34"/>
  <c r="H30" i="34" s="1"/>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c r="Q40" i="34"/>
  <c r="Z40" i="34"/>
  <c r="Q39" i="34"/>
  <c r="Z39" i="34"/>
  <c r="H39" i="34"/>
  <c r="U39" i="34" s="1"/>
  <c r="Q38" i="34"/>
  <c r="Z38" i="34"/>
  <c r="Q37" i="34"/>
  <c r="Z37" i="34"/>
  <c r="Q36" i="34"/>
  <c r="Z36" i="34"/>
  <c r="Q35" i="34"/>
  <c r="Z35" i="34"/>
  <c r="Q34" i="34"/>
  <c r="Z34" i="34"/>
  <c r="Q33" i="34"/>
  <c r="Z33" i="34"/>
  <c r="Q32" i="34"/>
  <c r="Z32" i="34" s="1"/>
  <c r="Q31" i="34"/>
  <c r="Z31" i="34"/>
  <c r="Q30" i="34"/>
  <c r="Z30" i="34" s="1"/>
  <c r="Q29" i="34"/>
  <c r="Z29" i="34"/>
  <c r="Q28" i="34"/>
  <c r="Z28" i="34" s="1"/>
  <c r="Q27" i="34"/>
  <c r="Z27" i="34"/>
  <c r="Q25" i="34"/>
  <c r="Z25" i="34" s="1"/>
  <c r="Q23" i="34"/>
  <c r="Z23" i="34"/>
  <c r="C23" i="34"/>
  <c r="Q19" i="34"/>
  <c r="Z19" i="34"/>
  <c r="C19" i="34"/>
  <c r="Q17" i="34"/>
  <c r="Z17" i="34"/>
  <c r="C17" i="34"/>
  <c r="Q15" i="34"/>
  <c r="Z15" i="34"/>
  <c r="Q14" i="34"/>
  <c r="Z14" i="34" s="1"/>
  <c r="Q13" i="34"/>
  <c r="Z13" i="34" s="1"/>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8" i="34"/>
  <c r="AA28" i="34" s="1"/>
  <c r="F25" i="34"/>
  <c r="S25" i="34" s="1"/>
  <c r="F19" i="34"/>
  <c r="S19"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H38" i="34"/>
  <c r="AB38" i="34"/>
  <c r="J36" i="34"/>
  <c r="W36" i="34" s="1"/>
  <c r="H25" i="34"/>
  <c r="AB25" i="34" s="1"/>
  <c r="J25" i="34"/>
  <c r="AC25" i="34" s="1"/>
  <c r="J19" i="34"/>
  <c r="AC19"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J30" i="34"/>
  <c r="W30" i="34" s="1"/>
  <c r="H32" i="34"/>
  <c r="U32" i="34" s="1"/>
  <c r="F32" i="34"/>
  <c r="S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J31" i="34"/>
  <c r="AC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W8" i="39"/>
  <c r="J19" i="40"/>
  <c r="AC19" i="40"/>
  <c r="J50" i="40"/>
  <c r="H103" i="9"/>
  <c r="D8" i="53" s="1"/>
  <c r="B16" i="53"/>
  <c r="B33" i="72" s="1"/>
  <c r="C7" i="37"/>
  <c r="C7" i="34"/>
  <c r="C7" i="36"/>
  <c r="W35" i="40"/>
  <c r="A118" i="9"/>
  <c r="A4" i="52"/>
  <c r="B41" i="72" s="1"/>
  <c r="G4" i="4"/>
  <c r="I4" i="4"/>
  <c r="A2" i="9"/>
  <c r="F61" i="43"/>
  <c r="H64" i="43" s="1"/>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U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S13" i="34"/>
  <c r="H10" i="34"/>
  <c r="AB1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25" i="34"/>
  <c r="AC14" i="34"/>
  <c r="W46" i="34"/>
  <c r="AC46" i="34"/>
  <c r="U38" i="34"/>
  <c r="AA8" i="34"/>
  <c r="S8" i="34"/>
  <c r="S46" i="34"/>
  <c r="AA46"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AC32" i="39" s="1"/>
  <c r="H32" i="39"/>
  <c r="AB32" i="39" s="1"/>
  <c r="AB21" i="39"/>
  <c r="U21" i="39"/>
  <c r="AA21" i="39"/>
  <c r="S21" i="39"/>
  <c r="AC17" i="37"/>
  <c r="S17" i="37"/>
  <c r="J19" i="37"/>
  <c r="G75" i="37"/>
  <c r="S19" i="37"/>
  <c r="AA19" i="37"/>
  <c r="AA23" i="37"/>
  <c r="J23" i="37"/>
  <c r="G79" i="37"/>
  <c r="J10" i="37"/>
  <c r="W10" i="37" s="1"/>
  <c r="G63" i="37"/>
  <c r="H11" i="37"/>
  <c r="AB11" i="37"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AB36" i="33"/>
  <c r="W27" i="33"/>
  <c r="AC27" i="33"/>
  <c r="W25" i="33"/>
  <c r="AC25" i="33"/>
  <c r="AA23" i="33"/>
  <c r="S23" i="33"/>
  <c r="AB19" i="33"/>
  <c r="U19" i="33"/>
  <c r="AA17" i="33"/>
  <c r="S17" i="33"/>
  <c r="U17" i="33"/>
  <c r="AB17" i="33"/>
  <c r="U23" i="21"/>
  <c r="AB23" i="21"/>
  <c r="AC23" i="21"/>
  <c r="W23" i="21"/>
  <c r="H109" i="9"/>
  <c r="D16" i="53"/>
  <c r="B34"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L47" i="67"/>
  <c r="F42" i="67"/>
  <c r="M23" i="15"/>
  <c r="E11" i="76"/>
  <c r="D6" i="73"/>
  <c r="C76" i="67"/>
  <c r="F6" i="67"/>
  <c r="F38" i="15"/>
  <c r="F43" i="83"/>
  <c r="F9" i="15"/>
  <c r="M22" i="15"/>
  <c r="L48" i="15"/>
  <c r="E2" i="69"/>
  <c r="F7" i="67"/>
  <c r="F4" i="73"/>
  <c r="M29" i="15"/>
  <c r="F7" i="15"/>
  <c r="F13" i="15"/>
  <c r="M23" i="67"/>
  <c r="M24" i="15"/>
  <c r="M8" i="67"/>
  <c r="F20" i="31"/>
  <c r="F16" i="15"/>
  <c r="E9" i="76"/>
  <c r="F7" i="73"/>
  <c r="F8" i="15"/>
  <c r="D4" i="73"/>
  <c r="M28" i="15"/>
  <c r="L48" i="83"/>
  <c r="B10" i="76"/>
  <c r="B13" i="76"/>
  <c r="F37" i="15"/>
  <c r="M26" i="67"/>
  <c r="F26" i="67"/>
  <c r="F3" i="73"/>
  <c r="E12" i="76"/>
  <c r="F36" i="67"/>
  <c r="F36" i="15"/>
  <c r="F8" i="67"/>
  <c r="M29" i="67"/>
  <c r="J15" i="15"/>
  <c r="D5" i="73"/>
  <c r="F6" i="73"/>
  <c r="M26" i="15"/>
  <c r="F7" i="83"/>
  <c r="L48" i="67"/>
  <c r="B11" i="76"/>
  <c r="F43" i="15"/>
  <c r="M24" i="67"/>
  <c r="E13" i="76"/>
  <c r="C76" i="15"/>
  <c r="E7" i="76"/>
  <c r="F43" i="67"/>
  <c r="F6" i="15"/>
  <c r="F37" i="67"/>
  <c r="F40" i="67"/>
  <c r="M29" i="83"/>
  <c r="F38" i="67"/>
  <c r="F42" i="15"/>
  <c r="M6" i="67"/>
  <c r="M8" i="15"/>
  <c r="M6" i="15"/>
  <c r="L47" i="15"/>
  <c r="E8" i="76"/>
  <c r="E2" i="68"/>
  <c r="F5" i="73"/>
  <c r="F40" i="15"/>
  <c r="AO13" i="1"/>
  <c r="B8" i="76"/>
  <c r="F16" i="67"/>
  <c r="B12" i="76"/>
  <c r="F9" i="67"/>
  <c r="E10" i="76"/>
  <c r="D3" i="73"/>
  <c r="M9" i="15"/>
  <c r="M22" i="67"/>
  <c r="M9" i="67"/>
  <c r="J15" i="67"/>
  <c r="D7" i="73"/>
  <c r="F13" i="67"/>
  <c r="F26" i="15"/>
  <c r="B9" i="76"/>
  <c r="B7" i="76"/>
  <c r="J17" i="34" l="1"/>
  <c r="W17" i="34" s="1"/>
  <c r="F17" i="34"/>
  <c r="AA17" i="34" s="1"/>
  <c r="H17" i="34"/>
  <c r="F86" i="34"/>
  <c r="G86" i="34" s="1"/>
  <c r="F23" i="34"/>
  <c r="AA23" i="34" s="1"/>
  <c r="J23" i="34"/>
  <c r="H23" i="34"/>
  <c r="U23" i="34" s="1"/>
  <c r="H43" i="34"/>
  <c r="AB43" i="34" s="1"/>
  <c r="J43" i="34"/>
  <c r="W43" i="34" s="1"/>
  <c r="L57" i="83"/>
  <c r="L60" i="83"/>
  <c r="L56" i="83"/>
  <c r="J57" i="83"/>
  <c r="J55" i="83" s="1"/>
  <c r="J58" i="83" s="1"/>
  <c r="Q50" i="83" s="1"/>
  <c r="J53" i="83"/>
  <c r="I54" i="83"/>
  <c r="L58" i="83"/>
  <c r="G7" i="1"/>
  <c r="F71" i="83"/>
  <c r="M7" i="83"/>
  <c r="J6" i="83" s="1"/>
  <c r="F50" i="83"/>
  <c r="C49" i="83" s="1"/>
  <c r="C61" i="83" s="1"/>
  <c r="C6" i="83"/>
  <c r="M7" i="1"/>
  <c r="F34" i="68"/>
  <c r="C36" i="68" s="1"/>
  <c r="M59" i="83"/>
  <c r="O7" i="1"/>
  <c r="P7" i="1" s="1"/>
  <c r="F47" i="34"/>
  <c r="S47" i="34" s="1"/>
  <c r="H47" i="34"/>
  <c r="AB47" i="34" s="1"/>
  <c r="J45" i="34"/>
  <c r="AA47" i="34"/>
  <c r="AB46" i="34"/>
  <c r="BA5" i="3"/>
  <c r="F27" i="34"/>
  <c r="AA27" i="34" s="1"/>
  <c r="J27" i="34"/>
  <c r="AC27" i="34" s="1"/>
  <c r="AC44" i="34"/>
  <c r="S44" i="34"/>
  <c r="AC43" i="34"/>
  <c r="U43" i="34"/>
  <c r="AB41" i="34"/>
  <c r="AA41" i="34"/>
  <c r="AC41" i="34"/>
  <c r="AA25" i="34"/>
  <c r="AC39" i="34"/>
  <c r="AC35" i="34"/>
  <c r="AB36" i="34"/>
  <c r="AA36" i="34"/>
  <c r="S35" i="34"/>
  <c r="W33" i="34"/>
  <c r="AA33" i="34"/>
  <c r="U45" i="34"/>
  <c r="AB45" i="34"/>
  <c r="W47" i="34"/>
  <c r="F45" i="34"/>
  <c r="S43" i="34"/>
  <c r="W40" i="34"/>
  <c r="AB40" i="34"/>
  <c r="AA40" i="34"/>
  <c r="AA39" i="34"/>
  <c r="AB39" i="34"/>
  <c r="AC36" i="34"/>
  <c r="AB35" i="34"/>
  <c r="AB33" i="34"/>
  <c r="J37" i="34"/>
  <c r="AC37" i="34" s="1"/>
  <c r="H112" i="34"/>
  <c r="I112" i="34" s="1"/>
  <c r="J112" i="34" s="1"/>
  <c r="K112" i="34" s="1"/>
  <c r="L112" i="34" s="1"/>
  <c r="M112" i="34" s="1"/>
  <c r="H37" i="34"/>
  <c r="U37" i="34" s="1"/>
  <c r="F37" i="34"/>
  <c r="AA37" i="34" s="1"/>
  <c r="S28" i="34"/>
  <c r="AB32" i="34"/>
  <c r="AA32" i="34"/>
  <c r="F31" i="34"/>
  <c r="S31" i="34" s="1"/>
  <c r="U28" i="34"/>
  <c r="AC28" i="34"/>
  <c r="H27" i="34"/>
  <c r="U27" i="34" s="1"/>
  <c r="U21" i="34"/>
  <c r="W19" i="34"/>
  <c r="W25" i="34"/>
  <c r="S23" i="34"/>
  <c r="S21" i="34"/>
  <c r="AA19" i="34"/>
  <c r="AB19" i="34"/>
  <c r="S17" i="34"/>
  <c r="H15" i="34"/>
  <c r="AB15" i="34" s="1"/>
  <c r="F78" i="34"/>
  <c r="G78" i="34" s="1"/>
  <c r="F15" i="34"/>
  <c r="J15" i="34"/>
  <c r="W15" i="34" s="1"/>
  <c r="U31" i="34"/>
  <c r="AC29" i="34"/>
  <c r="W29" i="34"/>
  <c r="U30" i="34"/>
  <c r="AB30" i="34"/>
  <c r="W31" i="34"/>
  <c r="H29" i="34"/>
  <c r="F30" i="34"/>
  <c r="AA29" i="34"/>
  <c r="AC30" i="34"/>
  <c r="AC32" i="34"/>
  <c r="AA31" i="34"/>
  <c r="U9" i="34"/>
  <c r="W9" i="34"/>
  <c r="W8" i="34"/>
  <c r="G6" i="1"/>
  <c r="I24" i="43"/>
  <c r="C24" i="43" s="1"/>
  <c r="J51" i="15"/>
  <c r="U41" i="39"/>
  <c r="AA12" i="39"/>
  <c r="U9" i="39"/>
  <c r="U42" i="39"/>
  <c r="AA41" i="39"/>
  <c r="AC41" i="39"/>
  <c r="U40" i="39"/>
  <c r="AA39" i="39"/>
  <c r="W32" i="39"/>
  <c r="S32" i="39"/>
  <c r="U32" i="39"/>
  <c r="AB12" i="39"/>
  <c r="W9" i="39"/>
  <c r="S9" i="39"/>
  <c r="H50" i="43"/>
  <c r="M18" i="67"/>
  <c r="F54" i="9"/>
  <c r="F32" i="15"/>
  <c r="F60" i="15" s="1"/>
  <c r="F52" i="9"/>
  <c r="F30" i="68"/>
  <c r="F48" i="68" s="1"/>
  <c r="M18" i="15"/>
  <c r="F30" i="11"/>
  <c r="C48" i="11" s="1"/>
  <c r="D68" i="9"/>
  <c r="F30" i="69"/>
  <c r="F48" i="69" s="1"/>
  <c r="F31" i="12"/>
  <c r="C40" i="69"/>
  <c r="G5" i="3"/>
  <c r="B3" i="3" s="1"/>
  <c r="E13" i="3" s="1"/>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4" i="12"/>
  <c r="E14" i="6"/>
  <c r="E63" i="39" s="1"/>
  <c r="I4" i="6"/>
  <c r="E29" i="6"/>
  <c r="K15" i="1" s="1"/>
  <c r="G30" i="6"/>
  <c r="G31" i="6" s="1"/>
  <c r="E28" i="6"/>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322" i="3"/>
  <c r="AJ6" i="3"/>
  <c r="O6" i="3"/>
  <c r="E574" i="3"/>
  <c r="E247" i="3"/>
  <c r="E285" i="3"/>
  <c r="E390" i="3"/>
  <c r="S6" i="3"/>
  <c r="E570" i="3"/>
  <c r="AB6" i="3"/>
  <c r="E418" i="3"/>
  <c r="E335" i="3"/>
  <c r="E298" i="3"/>
  <c r="E189" i="3"/>
  <c r="E185" i="3"/>
  <c r="E278" i="3"/>
  <c r="E304" i="3"/>
  <c r="E528" i="3"/>
  <c r="E172" i="3"/>
  <c r="E213" i="3"/>
  <c r="E361"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C16" i="67"/>
  <c r="G1" i="73"/>
  <c r="C16" i="83"/>
  <c r="S27" i="34" l="1"/>
  <c r="AB23" i="34"/>
  <c r="AC17" i="34"/>
  <c r="U17" i="34"/>
  <c r="AB17" i="34"/>
  <c r="G16" i="1"/>
  <c r="F10" i="39" s="1"/>
  <c r="AC23" i="34"/>
  <c r="W23" i="34"/>
  <c r="W37" i="34"/>
  <c r="Q60" i="83"/>
  <c r="Q73" i="83"/>
  <c r="Q66" i="83"/>
  <c r="Q57" i="83"/>
  <c r="Q52" i="83"/>
  <c r="F1" i="83"/>
  <c r="C33" i="83"/>
  <c r="C32" i="83"/>
  <c r="J19" i="83"/>
  <c r="J18" i="83"/>
  <c r="AB37" i="34"/>
  <c r="M11" i="83"/>
  <c r="J10" i="83" s="1"/>
  <c r="J5" i="83" s="1"/>
  <c r="F11" i="83"/>
  <c r="U47" i="34"/>
  <c r="W45" i="34"/>
  <c r="AC45" i="34"/>
  <c r="E445" i="3"/>
  <c r="E183" i="3"/>
  <c r="E69" i="3"/>
  <c r="E321" i="3"/>
  <c r="E506" i="3"/>
  <c r="E97" i="3"/>
  <c r="E579" i="3"/>
  <c r="E343" i="3"/>
  <c r="E565" i="3"/>
  <c r="E237" i="3"/>
  <c r="E216" i="3"/>
  <c r="E338" i="3"/>
  <c r="E523" i="3"/>
  <c r="E311" i="3"/>
  <c r="E359" i="3"/>
  <c r="E328" i="3"/>
  <c r="E553" i="3"/>
  <c r="E563" i="3"/>
  <c r="E261" i="3"/>
  <c r="E169" i="3"/>
  <c r="E215" i="3"/>
  <c r="E387" i="3"/>
  <c r="M6" i="3"/>
  <c r="E514" i="3"/>
  <c r="E201" i="3"/>
  <c r="E431" i="3"/>
  <c r="E509" i="3"/>
  <c r="E305" i="3"/>
  <c r="E217" i="3"/>
  <c r="E121"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68" i="3"/>
  <c r="E530" i="3"/>
  <c r="E125" i="3"/>
  <c r="E334" i="3"/>
  <c r="E93" i="3"/>
  <c r="E231" i="3"/>
  <c r="E380" i="3"/>
  <c r="E439" i="3"/>
  <c r="E538" i="3"/>
  <c r="E561" i="3"/>
  <c r="AR6" i="3"/>
  <c r="E533" i="3"/>
  <c r="E270" i="3"/>
  <c r="E143" i="3"/>
  <c r="E337" i="3"/>
  <c r="E410" i="3"/>
  <c r="E555" i="3"/>
  <c r="E388" i="3"/>
  <c r="E508" i="3"/>
  <c r="E282" i="3"/>
  <c r="E526" i="3"/>
  <c r="E175" i="3"/>
  <c r="E313" i="3"/>
  <c r="W27" i="34"/>
  <c r="S45" i="34"/>
  <c r="AA45" i="34"/>
  <c r="S37" i="34"/>
  <c r="AB27" i="34"/>
  <c r="AC15" i="34"/>
  <c r="S15" i="34"/>
  <c r="AA15" i="34"/>
  <c r="U15" i="34"/>
  <c r="S30" i="34"/>
  <c r="AA30" i="34"/>
  <c r="AB29" i="34"/>
  <c r="U29" i="34"/>
  <c r="J7" i="36"/>
  <c r="F7" i="36"/>
  <c r="H7" i="36"/>
  <c r="C30" i="69"/>
  <c r="E426" i="3"/>
  <c r="E153" i="3"/>
  <c r="E501" i="3"/>
  <c r="E319" i="3"/>
  <c r="E53" i="3"/>
  <c r="E480" i="3"/>
  <c r="E295" i="3"/>
  <c r="E548" i="3"/>
  <c r="E471" i="3"/>
  <c r="E30" i="3"/>
  <c r="E166" i="3"/>
  <c r="E145" i="3"/>
  <c r="E438" i="3"/>
  <c r="E316" i="3"/>
  <c r="E403" i="3"/>
  <c r="E208" i="3"/>
  <c r="E352" i="3"/>
  <c r="C30" i="11"/>
  <c r="E29" i="3"/>
  <c r="AM6" i="3"/>
  <c r="E317" i="3"/>
  <c r="E291" i="3"/>
  <c r="E272" i="3"/>
  <c r="E126" i="3"/>
  <c r="E92" i="3"/>
  <c r="E547" i="3"/>
  <c r="E411" i="3"/>
  <c r="E207" i="3"/>
  <c r="E14" i="3"/>
  <c r="E168" i="3"/>
  <c r="E537" i="3"/>
  <c r="E474" i="3"/>
  <c r="E224" i="3"/>
  <c r="E136" i="3"/>
  <c r="E109" i="3"/>
  <c r="E572" i="3"/>
  <c r="E377" i="3"/>
  <c r="E273" i="3"/>
  <c r="E211" i="3"/>
  <c r="E182" i="3"/>
  <c r="E71" i="3"/>
  <c r="E367" i="3"/>
  <c r="U6" i="3"/>
  <c r="E196" i="3"/>
  <c r="E357" i="3"/>
  <c r="E54" i="3"/>
  <c r="W6" i="3"/>
  <c r="E529" i="3"/>
  <c r="E157" i="3"/>
  <c r="E461" i="3"/>
  <c r="E441" i="3"/>
  <c r="E44" i="3"/>
  <c r="E384" i="3"/>
  <c r="E331" i="3"/>
  <c r="E210" i="3"/>
  <c r="E186" i="3"/>
  <c r="E162" i="3"/>
  <c r="E546" i="3"/>
  <c r="E432" i="3"/>
  <c r="E379" i="3"/>
  <c r="E397" i="3"/>
  <c r="E257" i="3"/>
  <c r="E475" i="3"/>
  <c r="E288" i="3"/>
  <c r="E532" i="3"/>
  <c r="E306" i="3"/>
  <c r="E12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16" i="3"/>
  <c r="E582" i="3"/>
  <c r="E460" i="3"/>
  <c r="E520" i="3"/>
  <c r="E39" i="3"/>
  <c r="E57" i="3"/>
  <c r="E131" i="3"/>
  <c r="E155" i="3"/>
  <c r="E297" i="3"/>
  <c r="E348" i="3"/>
  <c r="E378" i="3"/>
  <c r="E504" i="3"/>
  <c r="E165" i="3"/>
  <c r="E244" i="3"/>
  <c r="E149" i="3"/>
  <c r="E167" i="3"/>
  <c r="E141" i="3"/>
  <c r="E312" i="3"/>
  <c r="AD6" i="3"/>
  <c r="E542" i="3"/>
  <c r="E552" i="3"/>
  <c r="E421" i="3"/>
  <c r="E464" i="3"/>
  <c r="E487" i="3"/>
  <c r="E398" i="3"/>
  <c r="E459" i="3"/>
  <c r="E374" i="3"/>
  <c r="E566" i="3"/>
  <c r="E500" i="3"/>
  <c r="E413" i="3"/>
  <c r="E436" i="3"/>
  <c r="E90" i="3"/>
  <c r="E187" i="3"/>
  <c r="E240" i="3"/>
  <c r="E259" i="3"/>
  <c r="E375" i="3"/>
  <c r="E58" i="3"/>
  <c r="E539" i="3"/>
  <c r="E148" i="3"/>
  <c r="E199" i="3"/>
  <c r="E575" i="3"/>
  <c r="R6" i="3"/>
  <c r="E442" i="3"/>
  <c r="E541" i="3"/>
  <c r="E449" i="3"/>
  <c r="I3" i="6"/>
  <c r="E554" i="3"/>
  <c r="E435" i="3"/>
  <c r="E417" i="3"/>
  <c r="E56" i="3"/>
  <c r="E95" i="3"/>
  <c r="E132" i="3"/>
  <c r="E258" i="3"/>
  <c r="E292" i="3"/>
  <c r="E349" i="3"/>
  <c r="E544"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88" i="3"/>
  <c r="E507" i="3"/>
  <c r="E376" i="3"/>
  <c r="E419" i="3"/>
  <c r="E40" i="3"/>
  <c r="E119" i="3"/>
  <c r="E276" i="3"/>
  <c r="E333" i="3"/>
  <c r="E110" i="3"/>
  <c r="E484" i="3"/>
  <c r="E79" i="3"/>
  <c r="E138" i="3"/>
  <c r="E137" i="3"/>
  <c r="E209" i="3"/>
  <c r="E371" i="3"/>
  <c r="AQ6" i="3"/>
  <c r="E84" i="3"/>
  <c r="E123" i="3"/>
  <c r="E284" i="3"/>
  <c r="E68" i="3"/>
  <c r="E176" i="3"/>
  <c r="E323" i="3"/>
  <c r="E524" i="3"/>
  <c r="E16" i="3"/>
  <c r="E223" i="3"/>
  <c r="E105" i="3"/>
  <c r="E493" i="3"/>
  <c r="E543" i="3"/>
  <c r="E486" i="3"/>
  <c r="E422" i="3"/>
  <c r="E490" i="3"/>
  <c r="AH6" i="3"/>
  <c r="E498" i="3"/>
  <c r="E483" i="3"/>
  <c r="E463" i="3"/>
  <c r="E25" i="3"/>
  <c r="E178" i="3"/>
  <c r="E202" i="3"/>
  <c r="E226" i="3"/>
  <c r="E346" i="3"/>
  <c r="E372"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36" i="3"/>
  <c r="E212" i="3"/>
  <c r="E286" i="3"/>
  <c r="E499" i="3"/>
  <c r="E502" i="3"/>
  <c r="E466" i="3"/>
  <c r="E430" i="3"/>
  <c r="E255" i="3"/>
  <c r="AP6" i="3"/>
  <c r="E517" i="3"/>
  <c r="E491" i="3"/>
  <c r="E479" i="3"/>
  <c r="E37" i="3"/>
  <c r="E152" i="3"/>
  <c r="E192" i="3"/>
  <c r="E241" i="3"/>
  <c r="E363" i="3"/>
  <c r="E389"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29" i="3"/>
  <c r="E116" i="3"/>
  <c r="E393" i="3"/>
  <c r="E564" i="3"/>
  <c r="E427" i="3"/>
  <c r="E440" i="3"/>
  <c r="J6" i="3"/>
  <c r="E401" i="3"/>
  <c r="E108" i="3"/>
  <c r="E242" i="3"/>
  <c r="L6" i="3"/>
  <c r="E540" i="3"/>
  <c r="E446" i="3"/>
  <c r="E46" i="3"/>
  <c r="E200" i="3"/>
  <c r="E299" i="3"/>
  <c r="E354" i="3"/>
  <c r="E48" i="3"/>
  <c r="E184" i="3"/>
  <c r="E364" i="3"/>
  <c r="E19" i="3"/>
  <c r="E264" i="3"/>
  <c r="E21" i="3"/>
  <c r="D18" i="53"/>
  <c r="B35" i="72" s="1"/>
  <c r="C7" i="74"/>
  <c r="J7" i="37"/>
  <c r="AC7" i="37" s="1"/>
  <c r="V42" i="37" s="1"/>
  <c r="I42" i="37" s="1"/>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7" i="1"/>
  <c r="AE6" i="1"/>
  <c r="E65" i="39" l="1"/>
  <c r="L36" i="43"/>
  <c r="P36" i="43" s="1"/>
  <c r="F24" i="83"/>
  <c r="C53" i="83"/>
  <c r="C48" i="83" s="1"/>
  <c r="C10" i="83"/>
  <c r="C5" i="83" s="1"/>
  <c r="J24" i="83"/>
  <c r="N36" i="43"/>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3"/>
  <c r="M27" i="83"/>
  <c r="M27" i="15"/>
  <c r="F41" i="15"/>
  <c r="M27" i="67"/>
  <c r="O36" i="43" l="1"/>
  <c r="Q36" i="43"/>
  <c r="F69" i="83"/>
  <c r="L37" i="43"/>
  <c r="P37" i="43" s="1"/>
  <c r="M36" i="43"/>
  <c r="C66" i="83"/>
  <c r="C60" i="83"/>
  <c r="C24" i="83"/>
  <c r="C38" i="83"/>
  <c r="J34" i="34"/>
  <c r="H34" i="34"/>
  <c r="F34" i="34"/>
  <c r="B14" i="74"/>
  <c r="B1" i="74" s="1"/>
  <c r="F38" i="39"/>
  <c r="J38" i="39"/>
  <c r="H38" i="39"/>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83"/>
  <c r="C17" i="67"/>
  <c r="Q37" i="43" l="1"/>
  <c r="O37" i="43"/>
  <c r="S20" i="6"/>
  <c r="L18" i="85"/>
  <c r="E7" i="70"/>
  <c r="M19" i="85"/>
  <c r="C118" i="85" s="1"/>
  <c r="C15" i="74" s="1"/>
  <c r="M37" i="43"/>
  <c r="N37" i="43"/>
  <c r="AB34" i="34"/>
  <c r="U34" i="34"/>
  <c r="M19" i="9"/>
  <c r="C118" i="9" s="1"/>
  <c r="C14" i="74" s="1"/>
  <c r="B2" i="74" s="1"/>
  <c r="AC34" i="34"/>
  <c r="W34" i="34"/>
  <c r="AA34" i="34"/>
  <c r="S34" i="34"/>
  <c r="W38" i="39"/>
  <c r="AC38" i="39"/>
  <c r="AA38" i="39"/>
  <c r="S38" i="39"/>
  <c r="AB38" i="39"/>
  <c r="U38" i="39"/>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3"/>
  <c r="C15" i="83" l="1"/>
  <c r="C18" i="83"/>
  <c r="L19" i="85"/>
  <c r="D7" i="74"/>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4" l="1"/>
  <c r="C11" i="84"/>
  <c r="C19" i="83"/>
  <c r="F11" i="34"/>
  <c r="H11" i="34"/>
  <c r="J11" i="34"/>
  <c r="C11" i="39"/>
  <c r="G3" i="43"/>
  <c r="C21" i="12"/>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0" i="83" l="1"/>
  <c r="C26" i="83" s="1"/>
  <c r="C23" i="83"/>
  <c r="F11" i="84"/>
  <c r="J11" i="84"/>
  <c r="H11" i="84"/>
  <c r="W11" i="34"/>
  <c r="AC11" i="34"/>
  <c r="V49" i="34" s="1"/>
  <c r="I49" i="34" s="1"/>
  <c r="U11" i="34"/>
  <c r="AB11" i="34"/>
  <c r="T49" i="34" s="1"/>
  <c r="G49" i="34" s="1"/>
  <c r="S11" i="34"/>
  <c r="AA11" i="34"/>
  <c r="R49" i="34" s="1"/>
  <c r="W7" i="21"/>
  <c r="C27" i="12"/>
  <c r="C25" i="12" s="1"/>
  <c r="C30" i="12"/>
  <c r="C28" i="12" s="1"/>
  <c r="G26" i="43"/>
  <c r="H26" i="43"/>
  <c r="E26" i="43"/>
  <c r="F26" i="43"/>
  <c r="N370" i="46"/>
  <c r="J26" i="43"/>
  <c r="N94" i="46"/>
  <c r="B116" i="43"/>
  <c r="Z7" i="43"/>
  <c r="J11" i="39"/>
  <c r="H11" i="39"/>
  <c r="F11" i="39"/>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83"/>
  <c r="F35" i="15"/>
  <c r="M21" i="83"/>
  <c r="M21" i="67"/>
  <c r="M21" i="15"/>
  <c r="C29" i="83" l="1"/>
  <c r="C36" i="83" s="1"/>
  <c r="U11" i="84"/>
  <c r="AB11" i="84"/>
  <c r="T49" i="84" s="1"/>
  <c r="G49" i="84" s="1"/>
  <c r="AC11" i="84"/>
  <c r="V49" i="84" s="1"/>
  <c r="I49" i="84" s="1"/>
  <c r="W11" i="84"/>
  <c r="S11" i="84"/>
  <c r="AA11" i="84"/>
  <c r="R49" i="84" s="1"/>
  <c r="J20" i="83"/>
  <c r="J17" i="83" s="1"/>
  <c r="F63" i="83"/>
  <c r="C62" i="83" s="1"/>
  <c r="C59" i="83" s="1"/>
  <c r="C34" i="83"/>
  <c r="C31" i="83" s="1"/>
  <c r="G53" i="34"/>
  <c r="H53" i="34" s="1"/>
  <c r="G54" i="34"/>
  <c r="H54" i="34" s="1"/>
  <c r="R50" i="34"/>
  <c r="E49" i="34"/>
  <c r="I53" i="34"/>
  <c r="J53" i="34" s="1"/>
  <c r="C32" i="12"/>
  <c r="B2" i="12" s="1"/>
  <c r="B3" i="12" s="1"/>
  <c r="AC7" i="35"/>
  <c r="V38" i="35" s="1"/>
  <c r="I38" i="35" s="1"/>
  <c r="S11" i="39"/>
  <c r="AA11" i="39"/>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AB11" i="39"/>
  <c r="U11" i="39"/>
  <c r="D26" i="43"/>
  <c r="C25" i="43" s="1"/>
  <c r="W11" i="39"/>
  <c r="AC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3" i="83" l="1"/>
  <c r="C75" i="83" s="1"/>
  <c r="C57" i="83"/>
  <c r="C64" i="83" s="1"/>
  <c r="Q49" i="83"/>
  <c r="J14" i="83"/>
  <c r="J13" i="83" s="1"/>
  <c r="J23" i="83" s="1"/>
  <c r="J59" i="83"/>
  <c r="J60" i="83" s="1"/>
  <c r="Q48" i="83" s="1"/>
  <c r="E49" i="84"/>
  <c r="R50" i="84"/>
  <c r="G53" i="84"/>
  <c r="H53" i="84" s="1"/>
  <c r="G54" i="84"/>
  <c r="H54" i="84" s="1"/>
  <c r="C56" i="83"/>
  <c r="C65" i="83" s="1"/>
  <c r="C58" i="83" s="1"/>
  <c r="C67" i="83" s="1"/>
  <c r="C68" i="83" s="1"/>
  <c r="C71" i="83" s="1"/>
  <c r="I53" i="84"/>
  <c r="J53" i="84" s="1"/>
  <c r="I54" i="84"/>
  <c r="J54" i="84" s="1"/>
  <c r="E53" i="34"/>
  <c r="F53" i="34" s="1"/>
  <c r="E54" i="34"/>
  <c r="F54" i="34" s="1"/>
  <c r="C49" i="34"/>
  <c r="C50" i="34"/>
  <c r="I54" i="34"/>
  <c r="J54" i="34"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7" i="83" l="1"/>
  <c r="C30" i="83" s="1"/>
  <c r="C39" i="83" s="1"/>
  <c r="Q70" i="83"/>
  <c r="J22" i="83"/>
  <c r="J16" i="83" s="1"/>
  <c r="J25" i="83" s="1"/>
  <c r="J26" i="83" s="1"/>
  <c r="J29" i="83" s="1"/>
  <c r="L46" i="83"/>
  <c r="C80" i="83"/>
  <c r="C79" i="83" s="1"/>
  <c r="I39" i="83"/>
  <c r="Q69" i="83"/>
  <c r="Q68" i="83" s="1"/>
  <c r="C40" i="83"/>
  <c r="C46" i="83" s="1"/>
  <c r="C50" i="84"/>
  <c r="C49" i="84"/>
  <c r="E54" i="84"/>
  <c r="F54" i="84" s="1"/>
  <c r="E53" i="84"/>
  <c r="F53" i="84" s="1"/>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D2" i="33"/>
  <c r="E6" i="76"/>
  <c r="L51" i="83"/>
  <c r="L51" i="67"/>
  <c r="Q67" i="83" l="1"/>
  <c r="Q65" i="83"/>
  <c r="Q75" i="83" s="1"/>
  <c r="C83" i="83"/>
  <c r="C82" i="83" s="1"/>
  <c r="B2" i="83"/>
  <c r="B3" i="83" s="1"/>
  <c r="C43" i="83"/>
  <c r="Q47" i="83"/>
  <c r="Q53" i="83" s="1"/>
  <c r="Q56" i="83"/>
  <c r="Q62" i="83" s="1"/>
  <c r="B2" i="84"/>
  <c r="B3" i="84"/>
  <c r="O69" i="39"/>
  <c r="P67" i="39"/>
  <c r="E2" i="76"/>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L51" i="15"/>
  <c r="D2" i="36"/>
  <c r="D2" i="34"/>
  <c r="C19" i="85"/>
  <c r="C20" i="85"/>
  <c r="D2" i="37"/>
  <c r="D2" i="35"/>
  <c r="B6" i="76"/>
  <c r="C103" i="85" l="1"/>
  <c r="C21" i="85"/>
  <c r="C102" i="85"/>
  <c r="Q67" i="39"/>
  <c r="P69" i="39"/>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1" i="1"/>
  <c r="AO10" i="1"/>
  <c r="AO12" i="1"/>
  <c r="AO7" i="1"/>
  <c r="AO8" i="1"/>
  <c r="AO9" i="1"/>
  <c r="R67" i="39" l="1"/>
  <c r="Q69" i="39"/>
  <c r="L46" i="15"/>
  <c r="B2" i="15" s="1"/>
  <c r="Q66" i="15"/>
  <c r="Q75" i="15" s="1"/>
  <c r="Q62" i="15"/>
  <c r="B9" i="70"/>
  <c r="B11" i="70"/>
  <c r="B7" i="70"/>
  <c r="B10" i="70"/>
  <c r="B12" i="70"/>
  <c r="B8" i="70"/>
  <c r="U7" i="40"/>
  <c r="AB7" i="40"/>
  <c r="T42" i="40" s="1"/>
  <c r="G42" i="40" s="1"/>
  <c r="AA7" i="40"/>
  <c r="R42" i="40" s="1"/>
  <c r="S7" i="40"/>
  <c r="AC7" i="40"/>
  <c r="V42" i="40" s="1"/>
  <c r="I42" i="40" s="1"/>
  <c r="W7" i="40"/>
  <c r="AO6" i="1"/>
  <c r="D19" i="9"/>
  <c r="D19" i="85"/>
  <c r="D102" i="85" l="1"/>
  <c r="D21" i="85"/>
  <c r="G19" i="85"/>
  <c r="D22" i="85"/>
  <c r="B3" i="15"/>
  <c r="S67" i="39"/>
  <c r="R69" i="39"/>
  <c r="D102" i="9"/>
  <c r="D21" i="9"/>
  <c r="B6" i="70"/>
  <c r="B2" i="70" s="1"/>
  <c r="B3" i="70" s="1"/>
  <c r="I46" i="40"/>
  <c r="J46" i="40" s="1"/>
  <c r="R43" i="40"/>
  <c r="E42" i="40"/>
  <c r="G47" i="40"/>
  <c r="H47" i="40" s="1"/>
  <c r="G46" i="40"/>
  <c r="H46" i="40" s="1"/>
  <c r="D34" i="85"/>
  <c r="D20" i="85"/>
  <c r="D20" i="9"/>
  <c r="D35" i="85"/>
  <c r="D103" i="85" l="1"/>
  <c r="G20" i="85"/>
  <c r="D103" i="9"/>
  <c r="C32" i="85"/>
  <c r="G21" i="85"/>
  <c r="T67" i="39"/>
  <c r="S69" i="39"/>
  <c r="C42" i="40"/>
  <c r="C43" i="40"/>
  <c r="E47" i="40"/>
  <c r="F47" i="40" s="1"/>
  <c r="E46" i="40"/>
  <c r="F46" i="40" s="1"/>
  <c r="I47" i="40"/>
  <c r="J47" i="40" s="1"/>
  <c r="C35" i="85" l="1"/>
  <c r="F118" i="85" s="1"/>
  <c r="H118" i="85"/>
  <c r="D15" i="74" s="1"/>
  <c r="U67" i="39"/>
  <c r="T69" i="39"/>
  <c r="B58" i="40"/>
  <c r="F58" i="40" s="1"/>
  <c r="B54" i="40"/>
  <c r="F54" i="40" s="1"/>
  <c r="B53" i="40"/>
  <c r="F53" i="40" s="1"/>
  <c r="B59" i="40"/>
  <c r="F59" i="40" s="1"/>
  <c r="B52" i="40"/>
  <c r="F52" i="40" s="1"/>
  <c r="B56" i="40"/>
  <c r="F56" i="40" s="1"/>
  <c r="B60" i="40"/>
  <c r="F60" i="40" s="1"/>
  <c r="B57" i="40"/>
  <c r="F57" i="40" s="1"/>
  <c r="B51" i="40"/>
  <c r="F51" i="40" s="1"/>
  <c r="F61" i="40"/>
  <c r="B2" i="40" s="1"/>
  <c r="B3" i="40" s="1"/>
  <c r="C34" i="85" l="1"/>
  <c r="D118" i="85" s="1"/>
  <c r="K118" i="85" s="1"/>
  <c r="E15" i="74"/>
  <c r="F15" i="74"/>
  <c r="H119" i="85"/>
  <c r="I118" i="85"/>
  <c r="C104" i="85"/>
  <c r="H101" i="85"/>
  <c r="G118" i="85"/>
  <c r="F119" i="85"/>
  <c r="V67" i="39"/>
  <c r="U69" i="39"/>
  <c r="D119" i="85" l="1"/>
  <c r="H107" i="85"/>
  <c r="D45" i="85"/>
  <c r="P54" i="85" s="1"/>
  <c r="M48" i="85"/>
  <c r="E118" i="85"/>
  <c r="C105" i="85"/>
  <c r="H102" i="85"/>
  <c r="W67" i="39"/>
  <c r="V69" i="39"/>
  <c r="C93" i="85" l="1"/>
  <c r="C86" i="85" s="1"/>
  <c r="C85" i="85"/>
  <c r="C78" i="85"/>
  <c r="C73" i="85" s="1"/>
  <c r="D52" i="85"/>
  <c r="C72" i="85"/>
  <c r="C64" i="85"/>
  <c r="C63" i="85" s="1"/>
  <c r="C67" i="85" s="1"/>
  <c r="D53" i="85"/>
  <c r="D48" i="85" s="1"/>
  <c r="M52" i="85" s="1"/>
  <c r="P52" i="85" s="1"/>
  <c r="D55" i="85"/>
  <c r="M53" i="85" s="1"/>
  <c r="P53" i="85" s="1"/>
  <c r="H108" i="85"/>
  <c r="M49" i="85"/>
  <c r="D122" i="85"/>
  <c r="X67" i="39"/>
  <c r="W69" i="39"/>
  <c r="P57" i="85" l="1"/>
  <c r="P59" i="85" s="1"/>
  <c r="I15" i="74" s="1"/>
  <c r="K15" i="74" s="1"/>
  <c r="C95" i="85"/>
  <c r="D123" i="85"/>
  <c r="J15" i="74" s="1"/>
  <c r="G15" i="74"/>
  <c r="C68" i="85"/>
  <c r="D54" i="85" s="1"/>
  <c r="D59" i="85"/>
  <c r="M55" i="85" s="1"/>
  <c r="C96" i="85"/>
  <c r="E96" i="85" s="1"/>
  <c r="E97" i="85" s="1"/>
  <c r="L63" i="85"/>
  <c r="M63" i="85" s="1"/>
  <c r="L66" i="85"/>
  <c r="M66" i="85" s="1"/>
  <c r="L64" i="85"/>
  <c r="M64" i="85" s="1"/>
  <c r="L65" i="85"/>
  <c r="M65" i="85" s="1"/>
  <c r="L68" i="85"/>
  <c r="M68" i="85" s="1"/>
  <c r="L67" i="85"/>
  <c r="M67" i="85" s="1"/>
  <c r="C79" i="85"/>
  <c r="Y67" i="39"/>
  <c r="X69" i="39"/>
  <c r="C97" i="85" l="1"/>
  <c r="D58" i="85" s="1"/>
  <c r="D56" i="85" s="1"/>
  <c r="M54" i="85" s="1"/>
  <c r="N57" i="85" s="1"/>
  <c r="N58" i="85" s="1"/>
  <c r="M69" i="85"/>
  <c r="N69" i="85" s="1"/>
  <c r="C80" i="85"/>
  <c r="E80" i="85" s="1"/>
  <c r="E81" i="85" s="1"/>
  <c r="Z67" i="39"/>
  <c r="Y69" i="39"/>
  <c r="N59" i="85" l="1"/>
  <c r="C81" i="85"/>
  <c r="AA67" i="39"/>
  <c r="Z69" i="39"/>
  <c r="N61" i="85" l="1"/>
  <c r="H112" i="85" s="1"/>
  <c r="H111" i="85"/>
  <c r="D126" i="85" s="1"/>
  <c r="D127" i="85" s="1"/>
  <c r="N60" i="85"/>
  <c r="AB67" i="39"/>
  <c r="AC67" i="39" s="1"/>
  <c r="AD67" i="39" s="1"/>
  <c r="AA69" i="39"/>
  <c r="F7" i="39" l="1"/>
  <c r="H7" i="39"/>
  <c r="J7" i="39"/>
  <c r="W7" i="39" l="1"/>
  <c r="AC7" i="39"/>
  <c r="V47" i="39" s="1"/>
  <c r="I47" i="39" s="1"/>
  <c r="U7" i="39"/>
  <c r="AB7" i="39"/>
  <c r="T47" i="39" s="1"/>
  <c r="G47" i="39" s="1"/>
  <c r="S7" i="39"/>
  <c r="AA7" i="39"/>
  <c r="R47" i="39" s="1"/>
  <c r="G51" i="39" l="1"/>
  <c r="H51" i="39" s="1"/>
  <c r="G52" i="39"/>
  <c r="H52" i="39" s="1"/>
  <c r="I51" i="39"/>
  <c r="J51" i="39" s="1"/>
  <c r="I52" i="39"/>
  <c r="J52" i="39" s="1"/>
  <c r="E47" i="39"/>
  <c r="R48" i="39"/>
  <c r="C48" i="39" l="1"/>
  <c r="C47" i="39"/>
  <c r="E52" i="39"/>
  <c r="F52" i="39" s="1"/>
  <c r="E51" i="39"/>
  <c r="F51" i="39" s="1"/>
  <c r="B64" i="39" l="1"/>
  <c r="F64" i="39" s="1"/>
  <c r="B58" i="39"/>
  <c r="F58" i="39" s="1"/>
  <c r="B60" i="39"/>
  <c r="F60" i="39" s="1"/>
  <c r="B62" i="39"/>
  <c r="F62" i="39" s="1"/>
  <c r="B57" i="39"/>
  <c r="F57" i="39" s="1"/>
  <c r="B56" i="39"/>
  <c r="F56" i="39" s="1"/>
  <c r="B61" i="39"/>
  <c r="F61" i="39" s="1"/>
  <c r="B59" i="39"/>
  <c r="F59" i="39" s="1"/>
  <c r="B63" i="39"/>
  <c r="F63" i="39" s="1"/>
  <c r="F65" i="39" l="1"/>
  <c r="B2" i="39" s="1"/>
  <c r="B3" i="39" l="1"/>
  <c r="C6" i="68"/>
  <c r="C7" i="68" l="1"/>
  <c r="C5" i="68"/>
  <c r="C20" i="68" l="1"/>
  <c r="C25" i="68" s="1"/>
  <c r="C23" i="68"/>
  <c r="C28" i="68" l="1"/>
  <c r="C27" i="68" s="1"/>
  <c r="C22" i="68"/>
  <c r="C31" i="68" l="1"/>
  <c r="C52" i="68" s="1"/>
  <c r="B2" i="68" s="1"/>
  <c r="B3" i="68" s="1"/>
  <c r="C20" i="9"/>
  <c r="C19" i="9"/>
  <c r="C57" i="68" l="1"/>
  <c r="G19" i="9"/>
  <c r="C102" i="9"/>
  <c r="D22" i="9"/>
  <c r="C21" i="9"/>
  <c r="C103" i="9"/>
  <c r="G20" i="9"/>
  <c r="D35" i="9"/>
  <c r="C32" i="9" l="1"/>
  <c r="H118" i="9" s="1"/>
  <c r="G21" i="9"/>
  <c r="C56" i="68"/>
  <c r="D34" i="9"/>
  <c r="C35" i="9" l="1"/>
  <c r="F118" i="9" s="1"/>
  <c r="F119" i="9" s="1"/>
  <c r="F5" i="52" s="1"/>
  <c r="B53" i="72" s="1"/>
  <c r="D14" i="74"/>
  <c r="C104" i="9"/>
  <c r="I118" i="9"/>
  <c r="H4" i="52"/>
  <c r="H119" i="9"/>
  <c r="H5" i="52" s="1"/>
  <c r="H101" i="9"/>
  <c r="F4" i="52" l="1"/>
  <c r="B51" i="72" s="1"/>
  <c r="G118" i="9"/>
  <c r="G4" i="52" s="1"/>
  <c r="B52" i="72" s="1"/>
  <c r="C34" i="9"/>
  <c r="D118" i="9" s="1"/>
  <c r="K118" i="9" s="1"/>
  <c r="H107" i="9"/>
  <c r="D5" i="53"/>
  <c r="M48" i="9"/>
  <c r="D45" i="9"/>
  <c r="P54" i="9" s="1"/>
  <c r="E14" i="74"/>
  <c r="F14" i="74"/>
  <c r="B5" i="74"/>
  <c r="C105" i="9"/>
  <c r="I4" i="52"/>
  <c r="H102" i="9"/>
  <c r="D7" i="53" s="1"/>
  <c r="B21" i="72" s="1"/>
  <c r="E118" i="9" l="1"/>
  <c r="E4" i="52" s="1"/>
  <c r="B48" i="72" s="1"/>
  <c r="D4" i="52"/>
  <c r="B47" i="72" s="1"/>
  <c r="D119" i="9"/>
  <c r="D5" i="52" s="1"/>
  <c r="B49" i="72" s="1"/>
  <c r="D55" i="9"/>
  <c r="M53" i="9" s="1"/>
  <c r="P53" i="9" s="1"/>
  <c r="C72" i="9"/>
  <c r="C93" i="9"/>
  <c r="C86" i="9" s="1"/>
  <c r="D52" i="9"/>
  <c r="C85" i="9"/>
  <c r="C78" i="9"/>
  <c r="C73" i="9" s="1"/>
  <c r="C64" i="9"/>
  <c r="C63" i="9" s="1"/>
  <c r="C67" i="9" s="1"/>
  <c r="D53" i="9"/>
  <c r="D48" i="9" s="1"/>
  <c r="M52" i="9" s="1"/>
  <c r="P52" i="9" s="1"/>
  <c r="D5" i="74"/>
  <c r="C5" i="74"/>
  <c r="B20" i="72"/>
  <c r="D6" i="53"/>
  <c r="B22" i="72" s="1"/>
  <c r="H108" i="9"/>
  <c r="D15" i="53" s="1"/>
  <c r="B31" i="72" s="1"/>
  <c r="D122" i="9"/>
  <c r="D13" i="53"/>
  <c r="M49" i="9"/>
  <c r="P57" i="9" l="1"/>
  <c r="L64" i="9"/>
  <c r="M64" i="9" s="1"/>
  <c r="L66" i="9"/>
  <c r="M66" i="9" s="1"/>
  <c r="L67" i="9"/>
  <c r="M67" i="9" s="1"/>
  <c r="L65" i="9"/>
  <c r="M65" i="9" s="1"/>
  <c r="L68" i="9"/>
  <c r="M68" i="9" s="1"/>
  <c r="L63" i="9"/>
  <c r="M63" i="9" s="1"/>
  <c r="D14" i="53"/>
  <c r="B32" i="72" s="1"/>
  <c r="B30" i="72"/>
  <c r="C79" i="9"/>
  <c r="C68" i="9"/>
  <c r="D54" i="9" s="1"/>
  <c r="D59" i="9"/>
  <c r="M55" i="9" s="1"/>
  <c r="G14" i="74"/>
  <c r="D123" i="9"/>
  <c r="J14" i="74" s="1"/>
  <c r="D8" i="52"/>
  <c r="C95" i="9"/>
  <c r="P59" i="9" l="1"/>
  <c r="I14" i="74" s="1"/>
  <c r="K14" i="74" s="1"/>
  <c r="D9" i="52"/>
  <c r="B6" i="74"/>
  <c r="C96" i="9"/>
  <c r="E96" i="9" s="1"/>
  <c r="E97" i="9" s="1"/>
  <c r="M69" i="9"/>
  <c r="N69" i="9" s="1"/>
  <c r="C80" i="9"/>
  <c r="E80" i="9" s="1"/>
  <c r="E81" i="9" s="1"/>
  <c r="B8" i="74" l="1"/>
  <c r="C6" i="74"/>
  <c r="J16" i="74"/>
  <c r="D6" i="74"/>
  <c r="C97" i="9"/>
  <c r="D58" i="9" s="1"/>
  <c r="D56" i="9" s="1"/>
  <c r="M54" i="9" s="1"/>
  <c r="N57" i="9" s="1"/>
  <c r="D8" i="74"/>
  <c r="C81" i="9"/>
  <c r="N58" i="9" l="1"/>
  <c r="N59" i="9"/>
  <c r="H111" i="9" s="1"/>
  <c r="N60" i="9" l="1"/>
  <c r="N61" i="9"/>
  <c r="H112" i="9" s="1"/>
  <c r="D21" i="53" s="1"/>
  <c r="B39" i="72" s="1"/>
  <c r="D126" i="9"/>
  <c r="D19" i="53"/>
  <c r="C8" i="74" l="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<sst xmlns="http://schemas.openxmlformats.org/spreadsheetml/2006/main" count="9797" uniqueCount="3727">
  <si>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</si>
  <si>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</si>
  <si>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</si>
  <si>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</si>
  <si>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</si>
  <si>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</si>
  <si>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</si>
  <si>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</si>
  <si>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</si>
  <si>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</si>
  <si>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</si>
  <si>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</si>
  <si>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</si>
  <si>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</si>
  <si>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</si>
  <si>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</si>
  <si>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</si>
  <si>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</si>
  <si>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</si>
  <si>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</si>
  <si>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</si>
  <si>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</si>
  <si>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</si>
  <si>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</si>
  <si>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</si>
  <si>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</si>
  <si>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</si>
  <si>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</si>
  <si>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</si>
  <si>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</si>
  <si>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</si>
  <si>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</si>
  <si>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</si>
  <si>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</si>
  <si>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</si>
  <si>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</si>
  <si>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</si>
  <si>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</si>
  <si>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</si>
  <si>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</si>
  <si>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</si>
  <si>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</si>
  <si>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</si>
  <si>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</si>
  <si>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</si>
  <si>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</si>
  <si>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</si>
  <si>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</si>
  <si>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</si>
  <si>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</si>
  <si>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</si>
  <si>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</si>
  <si>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</si>
  <si>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</si>
  <si>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</si>
  <si>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</si>
  <si>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</si>
  <si>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</si>
  <si>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</si>
  <si>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</si>
  <si>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</si>
  <si>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</si>
  <si>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</si>
  <si>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</si>
  <si>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</si>
  <si>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</si>
  <si>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</si>
  <si>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</si>
  <si>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</si>
  <si>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</si>
  <si>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</si>
  <si>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</si>
  <si>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</si>
  <si>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</si>
  <si>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</si>
  <si>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</si>
  <si>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</si>
  <si>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</si>
  <si>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</si>
  <si>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</si>
  <si>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</si>
  <si>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</si>
  <si>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</si>
  <si>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</si>
  <si>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</si>
  <si>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</si>
  <si>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</si>
  <si>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</si>
  <si>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</si>
  <si>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</si>
  <si>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</si>
  <si>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</si>
  <si>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</si>
  <si>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</si>
  <si>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</si>
  <si>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</si>
  <si>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</si>
  <si>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</si>
  <si>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</si>
  <si>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</si>
  <si>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</si>
  <si>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</si>
  <si>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</si>
  <si>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</si>
  <si>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</si>
  <si>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</si>
  <si>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</si>
  <si>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</si>
  <si>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</si>
  <si>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</si>
  <si>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</si>
  <si>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</si>
  <si>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</si>
  <si>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</si>
  <si>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</si>
  <si>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</si>
  <si>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</si>
  <si>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</si>
  <si>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</si>
  <si>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</si>
  <si>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</si>
  <si>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</si>
  <si>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</si>
  <si>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</si>
  <si>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</si>
  <si>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</si>
  <si>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</si>
  <si>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</si>
  <si>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</si>
  <si>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</si>
  <si>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</si>
  <si>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</si>
  <si>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</si>
  <si>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</si>
  <si>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</si>
  <si>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</si>
  <si>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</si>
  <si>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</si>
  <si>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</si>
  <si>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</si>
  <si>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</si>
  <si>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</si>
  <si>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</si>
  <si>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</si>
  <si>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</si>
  <si>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</si>
  <si>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</si>
  <si>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</si>
  <si>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</si>
  <si>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</si>
  <si>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</si>
  <si>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</si>
  <si>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</si>
  <si>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</si>
  <si>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</si>
  <si>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</si>
  <si>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</si>
  <si>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</si>
  <si>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</si>
  <si>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</si>
  <si>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</si>
  <si>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</si>
  <si>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</si>
  <si>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</si>
  <si>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</si>
  <si>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</si>
  <si>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</si>
  <si>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</si>
  <si>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</si>
  <si>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</si>
  <si>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</si>
  <si>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</si>
  <si>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</si>
  <si>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</si>
  <si>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</si>
  <si>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</si>
  <si>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</si>
  <si>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</si>
  <si>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</si>
  <si>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</si>
  <si>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</si>
  <si>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</si>
  <si>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</si>
  <si>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</si>
  <si>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</si>
  <si>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</si>
  <si>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</si>
  <si>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</si>
  <si>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</si>
  <si>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</si>
  <si>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</si>
  <si>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</si>
  <si>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</si>
  <si>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</si>
  <si>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</si>
  <si>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</si>
  <si>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</si>
  <si>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</si>
  <si>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</si>
  <si>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</si>
  <si>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</si>
  <si>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</si>
  <si>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</si>
  <si>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</si>
  <si>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</si>
  <si>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</si>
  <si>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</si>
  <si>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</si>
  <si>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</si>
  <si>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</si>
  <si>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</si>
  <si>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</si>
  <si>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</si>
  <si>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</si>
  <si>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</si>
  <si>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</si>
  <si>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</si>
  <si>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</si>
  <si>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</si>
  <si>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</si>
  <si>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</si>
  <si>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</si>
  <si>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</si>
  <si>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</si>
  <si>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</si>
  <si>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</si>
  <si>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</si>
  <si>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</si>
  <si>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</si>
  <si>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</si>
  <si>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</si>
  <si>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</si>
  <si>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</si>
  <si>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</si>
  <si>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</si>
  <si>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</si>
  <si>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</si>
  <si>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</si>
  <si>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</si>
  <si>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</si>
  <si>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</si>
  <si>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</si>
  <si>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</si>
  <si>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</si>
  <si>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</si>
  <si>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</si>
  <si>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</si>
  <si>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</si>
  <si>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</si>
  <si>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</si>
  <si>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</si>
  <si>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</si>
  <si>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</si>
  <si>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</si>
  <si>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</si>
  <si>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</si>
  <si>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</si>
  <si>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</si>
  <si>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</si>
  <si>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</si>
  <si>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</si>
  <si>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</si>
  <si>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</si>
  <si>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</si>
  <si>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</si>
  <si>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</si>
  <si>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</si>
  <si>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</si>
  <si>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</si>
  <si>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</si>
  <si>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</si>
  <si>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</si>
  <si>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</si>
  <si>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</si>
  <si>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</si>
  <si>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</si>
  <si>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</si>
  <si>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</si>
  <si>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</si>
  <si>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</si>
  <si>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</si>
  <si>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</si>
  <si>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</si>
  <si>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</si>
  <si>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</si>
  <si>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</si>
  <si>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</si>
  <si>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</si>
  <si>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</si>
  <si>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</si>
  <si>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</si>
  <si>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</si>
  <si>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</si>
  <si>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</si>
  <si>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</si>
  <si>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</si>
  <si>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</si>
  <si>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</si>
  <si>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</si>
  <si>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</si>
  <si>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</si>
  <si>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</si>
  <si>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</si>
  <si>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</si>
  <si>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</si>
  <si>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</si>
  <si>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</si>
  <si>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</si>
  <si>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</si>
  <si>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</si>
  <si>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</si>
  <si>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</si>
  <si>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</si>
  <si>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</si>
  <si>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</si>
  <si>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</si>
  <si>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</si>
  <si>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</si>
  <si>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</si>
  <si>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</si>
  <si>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</si>
  <si>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</si>
  <si>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</si>
  <si>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</si>
  <si>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</si>
  <si>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</si>
  <si>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</si>
  <si>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</si>
  <si>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</si>
  <si>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</si>
  <si>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</si>
  <si>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</si>
  <si>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</si>
  <si>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</si>
  <si>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</si>
  <si>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</si>
  <si>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</si>
  <si>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</si>
  <si>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</si>
  <si>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</si>
  <si>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</si>
  <si>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</si>
  <si>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</si>
  <si>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</si>
  <si>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</si>
  <si>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</si>
  <si>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</si>
  <si>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</si>
  <si>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</si>
  <si>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</si>
  <si>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</si>
  <si>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</si>
  <si>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</si>
  <si>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</si>
  <si>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</si>
  <si>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</si>
  <si>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</si>
  <si>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</si>
  <si>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</si>
  <si>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</si>
  <si>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</si>
  <si>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</si>
  <si>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</si>
  <si>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</si>
  <si>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</si>
  <si>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</si>
  <si>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</si>
  <si>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</si>
  <si>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</si>
  <si>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</si>
  <si>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</si>
  <si>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</si>
  <si>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</si>
  <si>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</si>
  <si>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</si>
  <si>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</si>
  <si>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</si>
  <si>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</si>
  <si>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</si>
  <si>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</si>
  <si>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</si>
  <si>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</si>
  <si>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</si>
  <si>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</si>
  <si>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</si>
  <si>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</si>
  <si>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</si>
  <si>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</si>
  <si>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</si>
  <si>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</si>
  <si>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</si>
  <si>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</si>
  <si>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</si>
  <si>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</si>
  <si>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</si>
  <si>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</si>
  <si>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</si>
  <si>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</si>
  <si>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</si>
  <si>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</si>
  <si>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</si>
  <si>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</si>
  <si>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</si>
  <si>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</si>
  <si>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</si>
  <si>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</si>
  <si>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</si>
  <si>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</si>
  <si>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</si>
  <si>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</si>
  <si>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</si>
  <si>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</si>
  <si>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</si>
  <si>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</si>
  <si>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</si>
  <si>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</si>
  <si>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</si>
  <si>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</si>
  <si>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</si>
  <si>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</si>
  <si>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</si>
  <si>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</si>
  <si>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</si>
  <si>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</si>
  <si>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</si>
  <si>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</si>
  <si>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</si>
  <si>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</si>
  <si>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</si>
  <si>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</si>
  <si>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</si>
  <si>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</si>
  <si>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</si>
  <si>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</si>
  <si>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</si>
  <si>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</si>
  <si>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</si>
  <si>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</si>
  <si>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</si>
  <si>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</si>
  <si>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</si>
  <si>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</si>
  <si>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</si>
  <si>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</si>
  <si>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</si>
  <si>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</si>
  <si>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</si>
  <si>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</si>
  <si>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</si>
  <si>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</si>
  <si>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</si>
  <si>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</si>
  <si>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</si>
  <si>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</si>
  <si>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</si>
  <si>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</si>
  <si>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</si>
  <si>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</si>
  <si>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</si>
  <si>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</si>
  <si>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</si>
  <si>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</si>
  <si>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</si>
  <si>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</si>
  <si>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</si>
  <si>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</si>
  <si>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</si>
  <si>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</si>
  <si>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</si>
  <si>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</si>
  <si>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</si>
  <si>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</si>
  <si>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</si>
  <si>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</si>
  <si>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</si>
  <si>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</si>
  <si>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</si>
  <si>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</si>
  <si>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</si>
  <si>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</si>
  <si>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</si>
  <si>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</si>
  <si>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</si>
  <si>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</si>
  <si>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</si>
  <si>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</si>
  <si>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</si>
  <si>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</si>
  <si>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</si>
  <si>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</si>
  <si>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</si>
  <si>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</si>
  <si>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</si>
  <si>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</si>
  <si>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</si>
  <si>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</si>
  <si>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</si>
  <si>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</si>
  <si>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</si>
  <si>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</si>
  <si>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</si>
  <si>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</si>
  <si>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</si>
  <si>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</si>
  <si>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</si>
  <si>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</si>
  <si>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</si>
  <si>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</si>
  <si>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</si>
  <si>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</si>
  <si>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</si>
  <si>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</si>
  <si>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</si>
  <si>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</si>
  <si>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</si>
  <si>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</si>
  <si>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</si>
  <si>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</si>
  <si>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</si>
  <si>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</si>
  <si>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</si>
  <si>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</si>
  <si>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</si>
  <si>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</si>
  <si>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</si>
  <si>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</si>
  <si>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</si>
  <si>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</si>
  <si>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</si>
  <si>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</si>
  <si>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</si>
  <si>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</si>
  <si>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</si>
  <si>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</si>
  <si>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</si>
  <si>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</si>
  <si>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</si>
  <si>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</si>
  <si>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</si>
  <si>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</si>
  <si>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</si>
  <si>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</si>
  <si>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</si>
  <si>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</si>
  <si>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</si>
  <si>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</si>
  <si>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</si>
  <si>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</si>
  <si>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</si>
  <si>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</si>
  <si>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</si>
  <si>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</si>
  <si>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</si>
  <si>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</si>
  <si>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</si>
  <si>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</si>
  <si>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</si>
  <si>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</si>
  <si>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</si>
  <si>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</si>
  <si>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</si>
  <si>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</si>
  <si>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</si>
  <si>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</si>
  <si>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</si>
  <si>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</si>
  <si>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</si>
  <si>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</si>
  <si>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</si>
  <si>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</si>
  <si>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</si>
  <si>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</si>
  <si>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</si>
  <si>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</si>
  <si>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</si>
  <si>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</si>
  <si>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</si>
  <si>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</si>
  <si>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</si>
  <si>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</si>
  <si>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</si>
  <si>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</si>
  <si>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</si>
  <si>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</si>
  <si>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</si>
  <si>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</si>
  <si>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</si>
  <si>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</si>
  <si>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</si>
  <si>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</si>
  <si>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</si>
  <si>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</si>
  <si>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</si>
  <si>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</si>
  <si>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</si>
  <si>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</si>
  <si>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</si>
  <si>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</si>
  <si>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</si>
  <si>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</si>
  <si>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</si>
  <si>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</si>
  <si>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</si>
  <si>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</si>
  <si>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</si>
  <si>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</si>
  <si>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</si>
  <si>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</si>
  <si>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</si>
  <si>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</si>
  <si>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</si>
  <si>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</si>
  <si>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</si>
  <si>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</si>
  <si>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</si>
  <si>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</si>
  <si>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</si>
  <si>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</si>
  <si>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</si>
  <si>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</si>
  <si>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</si>
  <si>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</si>
  <si>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</si>
  <si>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</si>
  <si>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</si>
  <si>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</si>
  <si>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</si>
  <si>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</si>
  <si>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</si>
  <si>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</si>
  <si>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</si>
  <si>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</si>
  <si>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</si>
  <si>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</si>
  <si>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</si>
  <si>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</si>
  <si>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</si>
  <si>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</si>
  <si>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</si>
  <si>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</si>
  <si>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</si>
  <si>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</si>
  <si>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</si>
  <si>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</si>
  <si>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</si>
  <si>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</si>
  <si>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</si>
  <si>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</si>
  <si>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</si>
  <si>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</si>
  <si>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</si>
  <si>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</si>
  <si>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</si>
  <si>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</si>
  <si>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</si>
  <si>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</si>
  <si>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</si>
  <si>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</si>
  <si>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</si>
  <si>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</si>
  <si>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</si>
  <si>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</si>
  <si>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</si>
  <si>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</si>
  <si>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</si>
  <si>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</si>
  <si>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</si>
  <si>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</si>
  <si>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</si>
  <si>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</si>
  <si>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</si>
  <si>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</si>
  <si>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</si>
  <si>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</si>
  <si>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</si>
  <si>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</si>
  <si>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</si>
  <si>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</si>
  <si>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</si>
  <si>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</si>
  <si>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</si>
  <si>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</si>
  <si>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</si>
  <si>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</si>
  <si>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</si>
  <si>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</si>
  <si>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</si>
  <si>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</si>
  <si>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</si>
  <si>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</si>
  <si>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</si>
  <si>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</si>
  <si>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</si>
  <si>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</si>
  <si>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</si>
  <si>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</si>
  <si>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</si>
  <si>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</si>
  <si>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</si>
  <si>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</si>
  <si>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</si>
  <si>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</si>
  <si>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</si>
  <si>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</si>
  <si>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</si>
  <si>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</si>
  <si>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</si>
  <si>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</si>
  <si>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</si>
  <si>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</si>
  <si>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</si>
  <si>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</si>
  <si>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</si>
  <si>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</si>
  <si>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</si>
  <si>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</si>
  <si>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</si>
  <si>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</si>
  <si>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</si>
  <si>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</si>
  <si>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</si>
  <si>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</si>
  <si>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</si>
  <si>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</si>
  <si>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</si>
  <si>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</si>
  <si>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</si>
  <si>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</si>
  <si>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</si>
  <si>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</si>
  <si>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</si>
  <si>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</si>
  <si>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</si>
  <si>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</si>
  <si>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</si>
  <si>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</si>
  <si>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</si>
  <si>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</si>
  <si>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</si>
  <si>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</si>
  <si>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</si>
  <si>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</si>
  <si>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</si>
  <si>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</si>
  <si>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</si>
  <si>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</si>
  <si>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</si>
  <si>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</si>
  <si>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</si>
  <si>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</si>
  <si>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</si>
  <si>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</si>
  <si>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</si>
  <si>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</si>
  <si>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</si>
  <si>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</si>
  <si>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</si>
  <si>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</si>
  <si>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</si>
  <si>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</si>
  <si>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</si>
  <si>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</si>
  <si>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</si>
  <si>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</si>
  <si>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</si>
  <si>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</si>
  <si>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</si>
  <si>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</si>
  <si>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</si>
  <si>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</si>
  <si>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</si>
  <si>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</si>
  <si>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</si>
  <si>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</si>
  <si>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</si>
  <si>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</si>
  <si>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</si>
  <si>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</si>
  <si>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</si>
  <si>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</si>
  <si>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</si>
  <si>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</si>
  <si>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</si>
  <si>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</si>
  <si>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</si>
  <si>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</si>
  <si>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</si>
  <si>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</si>
  <si>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</si>
  <si>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</si>
  <si>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</si>
  <si>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</si>
  <si>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</si>
  <si>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</si>
  <si>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</si>
  <si>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</si>
  <si>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</si>
  <si>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</si>
  <si>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</si>
  <si>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</si>
  <si>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</si>
  <si>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</si>
  <si>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</si>
  <si>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</si>
  <si>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</si>
  <si>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</si>
  <si>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</si>
  <si>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</si>
  <si>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</si>
  <si>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</si>
  <si>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</si>
  <si>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</si>
  <si>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</si>
  <si>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</si>
  <si>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</si>
  <si>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</si>
  <si>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</si>
  <si>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</si>
  <si>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</si>
  <si>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</si>
  <si>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</si>
  <si>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</si>
  <si>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</si>
  <si>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</si>
  <si>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</si>
  <si>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</si>
  <si>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</si>
  <si>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</si>
  <si>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</si>
  <si>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</si>
  <si>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</si>
  <si>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</si>
  <si>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</si>
  <si>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</si>
  <si>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</si>
  <si>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</si>
  <si>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</si>
  <si>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</si>
  <si>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</si>
  <si>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</si>
  <si>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</si>
  <si>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</si>
  <si>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</si>
  <si>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</si>
  <si>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</si>
  <si>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</si>
  <si>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</si>
  <si>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</si>
  <si>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</si>
  <si>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</si>
  <si>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</si>
  <si>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</si>
  <si>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</si>
  <si>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</si>
  <si>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</si>
  <si>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</si>
  <si>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</si>
  <si>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</si>
  <si>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</si>
  <si>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</si>
  <si>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</si>
  <si>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</si>
  <si>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</si>
  <si>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</si>
  <si>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</si>
  <si>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</si>
  <si>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</si>
  <si>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</si>
  <si>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</si>
  <si>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</si>
  <si>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</si>
  <si>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</si>
  <si>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</si>
  <si>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</si>
  <si>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</si>
  <si>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</si>
  <si>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</si>
  <si>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</si>
  <si>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</si>
  <si>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</si>
  <si>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</si>
  <si>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</si>
  <si>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</si>
  <si>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</si>
  <si>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</si>
  <si>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</si>
  <si>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</si>
  <si>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</si>
  <si>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</si>
  <si>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</si>
  <si>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</si>
  <si>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</si>
  <si>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</si>
  <si>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</si>
  <si>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</si>
  <si>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</si>
  <si>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</si>
  <si>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</si>
  <si>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</si>
  <si>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</si>
  <si>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</si>
  <si>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</si>
  <si>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</si>
  <si>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</si>
  <si>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</si>
  <si>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</si>
  <si>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</si>
  <si>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</si>
  <si>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</si>
  <si>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</si>
  <si>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</si>
  <si>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</si>
  <si>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</si>
  <si>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</si>
  <si>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</si>
  <si>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</si>
  <si>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</si>
  <si>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</si>
  <si>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</si>
  <si>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</si>
  <si>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</si>
  <si>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</si>
  <si>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</si>
  <si>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</si>
  <si>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</si>
  <si>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</si>
  <si>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</si>
  <si>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</si>
  <si>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</si>
  <si>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</si>
  <si>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</si>
  <si>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</si>
  <si>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</si>
  <si>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</si>
  <si>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</si>
  <si>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</si>
  <si>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</si>
  <si>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</si>
  <si>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</si>
  <si>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</si>
  <si>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</si>
  <si>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</si>
  <si>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</si>
  <si>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</si>
  <si>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</si>
  <si>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</si>
  <si>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</si>
  <si>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</si>
  <si>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</si>
  <si>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</si>
  <si>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</si>
  <si>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</si>
  <si>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</si>
  <si>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</si>
  <si>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</si>
  <si>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</si>
  <si>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</si>
  <si>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</si>
  <si>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</si>
  <si>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</si>
  <si>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</si>
  <si>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</si>
  <si>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</si>
  <si>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</si>
  <si>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</si>
  <si>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</si>
  <si>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</si>
  <si>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</si>
  <si>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</si>
  <si>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</si>
  <si>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</si>
  <si>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</si>
  <si>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</si>
  <si>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</si>
  <si>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</si>
  <si>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</si>
  <si>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</si>
  <si>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</si>
  <si>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</si>
  <si>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</si>
  <si>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</si>
  <si>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</si>
  <si>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</si>
  <si>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</si>
  <si>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</si>
  <si>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</si>
  <si>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</si>
  <si>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</si>
  <si>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</si>
  <si>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</si>
  <si>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</si>
  <si>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</si>
  <si>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</si>
  <si>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</si>
  <si>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</si>
  <si>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</si>
  <si>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</si>
  <si>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</si>
  <si>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</si>
  <si>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</si>
  <si>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</si>
  <si>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</si>
  <si>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</si>
  <si>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</si>
  <si>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</si>
  <si>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</si>
  <si>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</si>
  <si>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</si>
  <si>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</si>
  <si>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</si>
  <si>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</si>
  <si>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</si>
  <si>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</si>
  <si>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</si>
  <si>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</si>
  <si>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</si>
  <si>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</si>
  <si>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</si>
  <si>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</si>
  <si>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</si>
  <si>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</si>
  <si>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</si>
  <si>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</si>
  <si>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</si>
  <si>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</si>
  <si>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</si>
  <si>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</si>
  <si>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</si>
  <si>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</si>
  <si>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</si>
  <si>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</si>
  <si>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</si>
  <si>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</si>
  <si>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</si>
  <si>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</si>
  <si>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</si>
  <si>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</si>
  <si>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</si>
  <si>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</si>
  <si>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</si>
  <si>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</si>
  <si>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</si>
  <si>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</si>
  <si>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</si>
  <si>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</si>
  <si>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</si>
  <si>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</si>
  <si>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</si>
  <si>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</si>
  <si>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</si>
  <si>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</si>
  <si>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</si>
  <si>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</si>
  <si>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</si>
  <si>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</si>
  <si>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</si>
  <si>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</si>
  <si>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</si>
  <si>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</si>
  <si>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</si>
  <si>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</si>
  <si>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</si>
  <si>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</si>
  <si>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</si>
  <si>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</si>
  <si>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</si>
  <si>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</si>
  <si>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</si>
  <si>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</si>
  <si>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</si>
  <si>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</si>
  <si>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</si>
  <si>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</si>
  <si>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</si>
  <si>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</si>
  <si>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</si>
  <si>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</si>
  <si>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</si>
  <si>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</si>
  <si>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</si>
  <si>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</si>
  <si>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</si>
  <si>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</si>
  <si>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</si>
  <si>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</si>
  <si>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</si>
  <si>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</si>
  <si>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</si>
  <si>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</si>
  <si>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</si>
  <si>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</si>
  <si>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</si>
  <si>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</si>
  <si>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</si>
  <si>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</si>
  <si>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</si>
  <si>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</si>
  <si>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</si>
  <si>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</si>
  <si>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</si>
  <si>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</si>
  <si>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</si>
  <si>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</si>
  <si>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</si>
  <si>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</si>
  <si>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</si>
  <si>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</si>
  <si>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</si>
  <si>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</si>
  <si>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</si>
  <si>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</si>
  <si>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</si>
  <si>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</si>
  <si>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</si>
  <si>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</si>
  <si>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</si>
  <si>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</si>
  <si>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</si>
  <si>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</si>
  <si>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</si>
  <si>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</si>
  <si>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</si>
  <si>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</si>
  <si>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</si>
  <si>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</si>
  <si>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</si>
  <si>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</si>
  <si>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</si>
  <si>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</si>
  <si>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</si>
  <si>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</si>
  <si>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</si>
  <si>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</si>
  <si>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</si>
  <si>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</si>
  <si>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</si>
  <si>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</si>
  <si>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</si>
  <si>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</si>
  <si>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</si>
  <si>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</si>
  <si>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</si>
  <si>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</si>
  <si>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</si>
  <si>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</si>
  <si>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</si>
  <si>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</si>
  <si>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</si>
  <si>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</si>
  <si>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</si>
  <si>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</si>
  <si>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</si>
  <si>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</si>
  <si>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</si>
  <si>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</si>
  <si>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</si>
  <si>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</si>
  <si>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</si>
  <si>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</si>
  <si>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</si>
  <si>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</si>
  <si>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</si>
  <si>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</si>
  <si>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</si>
  <si>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</si>
  <si>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</si>
  <si>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</si>
  <si>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</si>
  <si>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</si>
  <si>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</si>
  <si>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</si>
  <si>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</si>
  <si>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</si>
  <si>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</si>
  <si>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</si>
  <si>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</si>
  <si>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</si>
  <si>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</si>
  <si>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</si>
  <si>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</si>
  <si>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</si>
  <si>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</si>
  <si>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</si>
  <si>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</si>
  <si>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</si>
  <si>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</si>
  <si>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</si>
  <si>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</si>
  <si>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</si>
  <si>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</si>
  <si>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</si>
  <si>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</si>
  <si>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</si>
  <si>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</si>
  <si>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</si>
  <si>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</si>
  <si>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</si>
  <si>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</si>
  <si>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</si>
  <si>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</si>
  <si>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</si>
  <si>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</si>
  <si>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</si>
  <si>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</si>
  <si>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</si>
  <si>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</si>
  <si>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</si>
  <si>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</si>
  <si>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</si>
  <si>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</si>
  <si>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</si>
  <si>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</si>
  <si>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</si>
  <si>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</si>
  <si>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</si>
  <si>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</si>
  <si>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</si>
  <si>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</si>
  <si>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</si>
  <si>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</si>
  <si>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</si>
  <si>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</si>
  <si>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</si>
  <si>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</si>
  <si>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</si>
  <si>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</si>
  <si>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</si>
  <si>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</si>
  <si>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</si>
  <si>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</si>
  <si>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</si>
  <si>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</si>
  <si>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</si>
  <si>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</si>
  <si>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</si>
  <si>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</si>
  <si>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</si>
  <si>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</si>
  <si>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</si>
  <si>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</si>
  <si>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</si>
  <si>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</si>
  <si>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</si>
  <si>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</si>
  <si>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</si>
  <si>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</si>
  <si>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</si>
  <si>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</si>
  <si>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</si>
  <si>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</si>
  <si>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</si>
  <si>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</si>
  <si>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</si>
  <si>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</si>
  <si>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</si>
  <si>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</si>
  <si>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</si>
  <si>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</si>
  <si>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</si>
  <si>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</si>
  <si>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</si>
  <si>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</si>
  <si>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</si>
  <si>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</si>
  <si>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</si>
  <si>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</si>
  <si>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</si>
  <si>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</si>
  <si>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</si>
  <si>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</si>
  <si>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</si>
  <si>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</si>
  <si>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</si>
  <si>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</si>
  <si>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</si>
  <si>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</si>
  <si>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</si>
  <si>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</si>
  <si>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</si>
  <si>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</si>
  <si>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</si>
  <si>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</si>
  <si>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</si>
  <si>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</si>
  <si>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</si>
  <si>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</si>
  <si>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</si>
  <si>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</si>
  <si>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</si>
  <si>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</si>
  <si>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</si>
  <si>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</si>
  <si>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</si>
  <si>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</si>
  <si>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</si>
  <si>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</si>
  <si>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</si>
  <si>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</si>
  <si>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</si>
  <si>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</si>
  <si>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</si>
  <si>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</si>
  <si>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</si>
  <si>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</si>
  <si>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</si>
  <si>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</si>
  <si>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</si>
  <si>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</si>
  <si>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</si>
  <si>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</si>
  <si>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</si>
  <si>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</si>
  <si>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</si>
  <si>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</si>
  <si>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</si>
  <si>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</si>
  <si>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</si>
  <si>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</si>
  <si>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</si>
  <si>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</si>
  <si>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</si>
  <si>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</si>
  <si>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</si>
  <si>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</si>
  <si>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</si>
  <si>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</si>
  <si>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</si>
  <si>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</si>
  <si>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</si>
  <si>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</si>
  <si>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</si>
  <si>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</si>
  <si>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</si>
  <si>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</si>
  <si>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</si>
  <si>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</si>
  <si>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</si>
  <si>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</si>
  <si>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</si>
  <si>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</si>
  <si>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</si>
  <si>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</si>
  <si>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</si>
  <si>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</si>
  <si>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</si>
  <si>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</si>
  <si>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</si>
  <si>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</si>
  <si>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</si>
  <si>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</si>
  <si>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</si>
  <si>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</si>
  <si>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</si>
  <si>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</si>
  <si>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</si>
  <si>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</si>
  <si>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</si>
  <si>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</si>
  <si>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</si>
  <si>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</si>
  <si>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</si>
  <si>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</si>
  <si>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</si>
  <si>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</si>
  <si>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</si>
  <si>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</si>
  <si>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</si>
  <si>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</si>
  <si>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</si>
  <si>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</si>
  <si>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</si>
  <si>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</si>
  <si>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</si>
  <si>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</si>
  <si>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</si>
  <si>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</si>
  <si>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</si>
  <si>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</si>
  <si>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</si>
  <si>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</si>
  <si>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</si>
  <si>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</si>
  <si>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</si>
  <si>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</si>
  <si>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</si>
  <si>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</si>
  <si>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</si>
  <si>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</si>
  <si>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</si>
  <si>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</si>
  <si>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</si>
  <si>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</si>
  <si>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</si>
  <si>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</si>
  <si>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</si>
  <si>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</si>
  <si>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</si>
  <si>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</si>
  <si>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</si>
  <si>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</si>
  <si>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</si>
  <si>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</si>
  <si>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</si>
  <si>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</si>
  <si>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</si>
  <si>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</si>
  <si>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</si>
  <si>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</si>
  <si>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</si>
  <si>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</si>
  <si>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</si>
  <si>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</si>
  <si>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</si>
  <si>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</si>
  <si>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</si>
  <si>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</si>
  <si>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</si>
  <si>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</si>
  <si>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</si>
  <si>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</si>
  <si>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</si>
  <si>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</si>
  <si>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</si>
  <si>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</si>
  <si>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</si>
  <si>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</si>
  <si>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</si>
  <si>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</si>
  <si>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</si>
  <si>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</si>
  <si>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</si>
  <si>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</si>
  <si>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</si>
  <si>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</si>
  <si>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</si>
  <si>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</si>
  <si>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</si>
  <si>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</si>
  <si>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</si>
  <si>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</si>
  <si>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</si>
  <si>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</si>
  <si>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</si>
  <si>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</si>
  <si>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</si>
  <si>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</si>
  <si>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</si>
  <si>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</si>
  <si>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</si>
  <si>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</si>
  <si>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</si>
  <si>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</si>
  <si>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</si>
  <si>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</si>
  <si>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</si>
  <si>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</si>
  <si>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</si>
  <si>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</si>
  <si>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</si>
  <si>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</si>
  <si>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</si>
  <si>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</si>
  <si>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</si>
  <si>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</si>
  <si>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</si>
  <si>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</si>
  <si>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</si>
  <si>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</si>
  <si>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</si>
  <si>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</si>
  <si>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</si>
  <si>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</si>
  <si>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</si>
  <si>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</si>
  <si>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</si>
  <si>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</si>
  <si>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</si>
  <si>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</si>
  <si>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</si>
  <si>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</si>
  <si>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</si>
  <si>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</si>
  <si>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</si>
  <si>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</si>
  <si>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</si>
  <si>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</si>
  <si>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</si>
  <si>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</si>
  <si>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</si>
  <si>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</si>
  <si>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</si>
  <si>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</si>
  <si>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</si>
  <si>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</si>
  <si>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</si>
  <si>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</si>
  <si>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</si>
  <si>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</si>
  <si>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</si>
  <si>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</si>
  <si>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</si>
  <si>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</si>
  <si>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</si>
  <si>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</si>
  <si>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</si>
  <si>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</si>
  <si>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</si>
  <si>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</si>
  <si>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</si>
  <si>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</si>
  <si>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</si>
  <si>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</si>
  <si>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</si>
  <si>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</si>
  <si>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</si>
  <si>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</si>
  <si>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</si>
  <si>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</si>
  <si>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</si>
  <si>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</si>
  <si>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</si>
  <si>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</si>
  <si>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</si>
  <si>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</si>
  <si>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</si>
  <si>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</si>
  <si>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</si>
  <si>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</si>
  <si>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</si>
  <si>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</si>
  <si>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</si>
  <si>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</si>
  <si>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</si>
  <si>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</si>
  <si>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</si>
  <si>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</si>
  <si>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</si>
  <si>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</si>
  <si>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</si>
  <si>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</si>
  <si>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</si>
  <si>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</si>
  <si>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</si>
  <si>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</si>
  <si>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</si>
  <si>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</si>
  <si>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</si>
  <si>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</si>
  <si>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</si>
  <si>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</si>
  <si>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</si>
  <si>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</si>
  <si>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</si>
  <si>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</si>
  <si>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</si>
  <si>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</si>
  <si>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</si>
  <si>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</si>
  <si>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</si>
  <si>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</si>
  <si>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</si>
  <si>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</si>
  <si>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</si>
  <si>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</si>
  <si>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</si>
  <si>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</si>
  <si>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</si>
  <si>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</si>
  <si>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</si>
  <si>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</si>
  <si>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</si>
  <si>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</si>
  <si>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</si>
  <si>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</si>
  <si>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</si>
  <si>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</si>
  <si>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</si>
  <si>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</si>
  <si>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</si>
  <si>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</si>
  <si>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</si>
  <si>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</si>
  <si>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</si>
  <si>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</si>
  <si>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</si>
  <si>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</si>
  <si>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</si>
  <si>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</si>
  <si>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</si>
  <si>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</si>
  <si>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</si>
  <si>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</si>
  <si>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</si>
  <si>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</si>
  <si>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</si>
  <si>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</si>
  <si>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</si>
  <si>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</si>
  <si>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</si>
  <si>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</si>
  <si>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</si>
  <si>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</si>
  <si>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</si>
  <si>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</si>
  <si>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</si>
  <si>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</si>
  <si>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</si>
  <si>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</si>
  <si>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</si>
  <si>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</si>
  <si>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</si>
  <si>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</si>
  <si>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</si>
  <si>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</si>
  <si>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</si>
  <si>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</si>
  <si>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</si>
  <si>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</si>
  <si>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</si>
  <si>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</si>
  <si>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</si>
  <si>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</si>
  <si>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</si>
  <si>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</si>
  <si>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</si>
  <si>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</si>
  <si>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</si>
  <si>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</si>
  <si>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</si>
  <si>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</si>
  <si>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</si>
  <si>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</si>
  <si>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</si>
  <si>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</si>
  <si>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</si>
  <si>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</si>
  <si>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</si>
  <si>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</si>
  <si>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</si>
  <si>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</si>
  <si>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</si>
  <si>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</si>
  <si>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</si>
  <si>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</si>
  <si>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</si>
  <si>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</si>
  <si>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</si>
  <si>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</si>
  <si>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</si>
  <si>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</si>
  <si>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</si>
  <si>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</si>
  <si>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</si>
  <si>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</si>
  <si>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</si>
  <si>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</si>
  <si>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</si>
  <si>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</si>
  <si>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</si>
  <si>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</si>
  <si>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</si>
  <si>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</si>
  <si>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</si>
  <si>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</si>
  <si>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</si>
  <si>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</si>
  <si>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</si>
  <si>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</si>
  <si>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</si>
  <si>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</si>
  <si>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</si>
  <si>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</si>
  <si>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</si>
  <si>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</si>
  <si>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</si>
  <si>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</si>
  <si>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</si>
  <si>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</si>
  <si>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</si>
  <si>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</si>
  <si>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</si>
  <si>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</si>
  <si>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</si>
  <si>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</si>
  <si>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</si>
  <si>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</si>
  <si>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</si>
  <si>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</si>
  <si>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</si>
  <si>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</si>
  <si>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</si>
  <si>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</si>
  <si>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</si>
  <si>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</si>
  <si>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</si>
  <si>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</si>
  <si>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</si>
  <si>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</si>
  <si>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</si>
  <si>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</si>
  <si>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</si>
  <si>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</si>
  <si>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</si>
  <si>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</si>
  <si>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</si>
  <si>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</si>
  <si>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</si>
  <si>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</si>
  <si>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</si>
  <si>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</si>
  <si>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</si>
  <si>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</si>
  <si>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</si>
  <si>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</si>
  <si>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</si>
  <si>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</si>
  <si>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</si>
  <si>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</si>
  <si>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</si>
  <si>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</si>
  <si>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</si>
  <si>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</si>
  <si>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</si>
  <si>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</si>
  <si>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</si>
  <si>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</si>
  <si>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</si>
  <si>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</si>
  <si>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</si>
  <si>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</si>
  <si>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</si>
  <si>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</si>
  <si>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</si>
  <si>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</si>
  <si>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</si>
  <si>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</si>
  <si>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</si>
  <si>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</si>
  <si>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</si>
  <si>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</si>
  <si>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</si>
  <si>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</si>
  <si>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</si>
  <si>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</si>
  <si>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</si>
  <si>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</si>
  <si>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</si>
  <si>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</si>
  <si>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</si>
  <si>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</si>
  <si>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</si>
  <si>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</si>
  <si>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</si>
  <si>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</si>
  <si>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</si>
  <si>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</si>
  <si>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</si>
  <si>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</si>
  <si>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</si>
  <si>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</si>
  <si>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</si>
  <si>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</si>
  <si>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</si>
  <si>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</si>
  <si>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</si>
  <si>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</si>
  <si>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</si>
  <si>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</si>
  <si>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</si>
  <si>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</si>
  <si>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</si>
  <si>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</si>
  <si>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</si>
  <si>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</si>
  <si>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</si>
  <si>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</si>
  <si>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</si>
  <si>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</si>
  <si>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</si>
  <si>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</si>
  <si>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</si>
  <si>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</si>
  <si>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</si>
  <si>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</si>
  <si>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</si>
  <si>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</si>
  <si>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</si>
  <si>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</si>
  <si>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</si>
  <si>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</si>
  <si>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</si>
  <si>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</si>
  <si>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</si>
  <si>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</si>
  <si>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</si>
  <si>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</si>
  <si>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</si>
  <si>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</si>
  <si>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</si>
  <si>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</si>
  <si>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</si>
  <si>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</si>
  <si>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</si>
  <si>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</si>
  <si>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</si>
  <si>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</si>
  <si>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</si>
  <si>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</si>
  <si>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</si>
  <si>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</si>
  <si>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</si>
  <si>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</si>
  <si>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</si>
  <si>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</si>
  <si>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</si>
  <si>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</si>
  <si>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</si>
  <si>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</si>
  <si>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</si>
  <si>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</si>
  <si>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</si>
  <si>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</si>
  <si>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</si>
  <si>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</si>
  <si>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</si>
  <si>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</si>
  <si>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</si>
  <si>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</si>
  <si>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</si>
  <si>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</si>
  <si>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</si>
  <si>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</si>
  <si>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</si>
  <si>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</si>
  <si>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</si>
  <si>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</si>
  <si>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</si>
  <si>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</si>
  <si>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</si>
  <si>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</si>
  <si>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</si>
  <si>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</si>
  <si>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</si>
  <si>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</si>
  <si>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</si>
  <si>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</si>
  <si>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</si>
  <si>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</si>
  <si>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</si>
  <si>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</si>
  <si>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</si>
  <si>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</si>
  <si>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</si>
  <si>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</si>
  <si>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</si>
  <si>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</si>
  <si>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</si>
  <si>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</si>
  <si>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</si>
  <si>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</si>
  <si>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</si>
  <si>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</si>
  <si>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</si>
  <si>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</si>
  <si>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</si>
  <si>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</si>
  <si>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</si>
  <si>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</si>
  <si>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</si>
  <si>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</si>
  <si>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</si>
  <si>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</si>
  <si>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</si>
  <si>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</si>
  <si>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</si>
  <si>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</si>
  <si>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</si>
  <si>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</si>
  <si>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</si>
  <si>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</si>
  <si>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</si>
  <si>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</si>
  <si>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</si>
  <si>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</si>
  <si>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</si>
  <si>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</si>
  <si>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</si>
  <si>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</si>
  <si>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</si>
  <si>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</si>
  <si>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</si>
  <si>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</si>
  <si>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</si>
  <si>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</si>
  <si>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</si>
  <si>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</si>
  <si>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</si>
  <si>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</si>
  <si>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</si>
  <si>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</si>
  <si>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</si>
  <si>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</si>
  <si>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</si>
  <si>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</si>
  <si>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</si>
  <si>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</si>
  <si>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</si>
  <si>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</si>
  <si>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</si>
  <si>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</si>
  <si>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</si>
  <si>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</si>
  <si>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</si>
  <si>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</si>
  <si>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</si>
  <si>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</si>
  <si>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</si>
  <si>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</si>
  <si>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</si>
  <si>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</si>
  <si>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</si>
  <si>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</si>
  <si>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</si>
  <si>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</si>
  <si>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</si>
  <si>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</si>
  <si>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</si>
  <si>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</si>
  <si>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</si>
  <si>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</si>
  <si>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</si>
  <si>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</si>
  <si>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</si>
  <si>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</si>
  <si>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</si>
  <si>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</si>
  <si>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</si>
  <si>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</si>
  <si>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</si>
  <si>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</si>
  <si>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</si>
  <si>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</si>
  <si>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</si>
  <si>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</si>
  <si>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</si>
  <si>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</si>
  <si>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</si>
  <si>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</si>
  <si>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</si>
  <si>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</si>
  <si>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</si>
  <si>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</si>
  <si>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</si>
  <si>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</si>
  <si>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</si>
  <si>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</si>
  <si>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</si>
  <si>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</si>
  <si>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</si>
  <si>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</si>
  <si>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</si>
  <si>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</si>
  <si>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</si>
  <si>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</si>
  <si>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</si>
  <si>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</si>
  <si>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</si>
  <si>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</si>
  <si>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</si>
  <si>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</si>
  <si>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</si>
  <si>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</si>
  <si>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</si>
  <si>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</si>
  <si>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</si>
  <si>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</si>
  <si>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</si>
  <si>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</si>
  <si>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</si>
  <si>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</si>
  <si>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</si>
  <si>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</si>
  <si>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</si>
  <si>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</si>
  <si>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</si>
  <si>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</si>
  <si>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</si>
  <si>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</si>
  <si>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</si>
  <si>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</si>
  <si>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</si>
  <si>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</si>
  <si>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</si>
  <si>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</si>
  <si>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</si>
  <si>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</si>
  <si>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</si>
  <si>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</si>
  <si>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</si>
  <si>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</si>
  <si>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</si>
  <si>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</si>
  <si>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</si>
  <si>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</si>
  <si>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</si>
  <si>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</si>
  <si>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</si>
  <si>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</si>
  <si>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</si>
  <si>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</si>
  <si>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</si>
  <si>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</si>
  <si>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</si>
  <si>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</si>
  <si>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</si>
  <si>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</si>
  <si>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</si>
  <si>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</si>
  <si>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</si>
  <si>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</si>
  <si>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</si>
  <si>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</si>
  <si>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</si>
  <si>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</si>
  <si>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</si>
  <si>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</si>
  <si>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</si>
  <si>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</si>
  <si>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</si>
  <si>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</si>
  <si>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</si>
  <si>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</si>
  <si>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</si>
  <si>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</si>
  <si>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</si>
  <si>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</si>
  <si>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</si>
  <si>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</si>
  <si>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</si>
  <si>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</si>
  <si>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</si>
  <si>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</si>
  <si>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</si>
  <si>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</si>
  <si>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</si>
  <si>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</si>
  <si>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</si>
  <si>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</si>
  <si>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</si>
  <si>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</si>
  <si>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</si>
  <si>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</si>
  <si>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</si>
  <si>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</si>
  <si>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</si>
  <si>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</si>
  <si>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</si>
  <si>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</si>
  <si>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</si>
  <si>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</si>
  <si>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</si>
  <si>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</si>
  <si>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</si>
  <si>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</si>
  <si>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</si>
  <si>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</si>
  <si>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</si>
  <si>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</si>
  <si>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</si>
  <si>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</si>
  <si>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</si>
  <si>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</si>
  <si>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</si>
  <si>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</si>
  <si>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</si>
  <si>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</si>
  <si>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</si>
  <si>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</si>
  <si>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</si>
  <si>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</si>
  <si>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</si>
  <si>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</si>
  <si>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</si>
  <si>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</si>
  <si>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</si>
  <si>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</si>
  <si>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</si>
  <si>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</si>
  <si>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</si>
  <si>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</si>
  <si>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</si>
  <si>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</si>
  <si>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</si>
  <si>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</si>
  <si>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</si>
  <si>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</si>
  <si>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</si>
  <si>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</si>
  <si>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</si>
  <si>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</si>
  <si>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</si>
  <si>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</si>
  <si>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</si>
  <si>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</si>
  <si>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</si>
  <si>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</si>
  <si>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</si>
  <si>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</si>
  <si>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</si>
  <si>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</si>
  <si>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</si>
  <si>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</si>
  <si>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</si>
  <si>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</si>
  <si>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</si>
  <si>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</si>
  <si>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</si>
  <si>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</si>
  <si>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</si>
  <si>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</si>
  <si>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</si>
  <si>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</si>
  <si>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</si>
  <si>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</si>
  <si>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</si>
  <si>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</si>
  <si>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</si>
  <si>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</si>
  <si>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</si>
  <si>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</si>
  <si>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</si>
  <si>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</si>
  <si>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</si>
  <si>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</si>
  <si>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</si>
  <si>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</si>
  <si>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</si>
  <si>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</si>
  <si>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</si>
  <si>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</si>
  <si>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</si>
  <si>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</si>
  <si>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</si>
  <si>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</si>
  <si>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</si>
  <si>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</si>
  <si>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</si>
  <si>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</si>
  <si>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</si>
  <si>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</si>
  <si>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</si>
  <si>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</si>
  <si>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</si>
  <si>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</si>
  <si>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</si>
  <si>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</si>
  <si>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</si>
  <si>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</si>
  <si>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</si>
  <si>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</si>
  <si>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</si>
  <si>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</si>
  <si>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</si>
  <si>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</si>
  <si>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</si>
  <si>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</si>
  <si>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</si>
  <si>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</si>
  <si>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</si>
  <si>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</si>
  <si>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</si>
  <si>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</si>
  <si>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</si>
  <si>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</si>
  <si>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</si>
  <si>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</si>
  <si>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</si>
  <si>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</si>
  <si>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</si>
  <si>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</si>
  <si>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</si>
  <si>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</si>
  <si>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</si>
  <si>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</si>
  <si>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</si>
  <si>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</si>
  <si>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</si>
  <si>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</si>
  <si>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</si>
  <si>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</si>
  <si>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</si>
  <si>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</si>
  <si>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</si>
  <si>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</si>
  <si>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</si>
  <si>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</si>
  <si>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</si>
  <si>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</si>
  <si>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</si>
  <si>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</si>
  <si>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</si>
  <si>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</si>
  <si>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</si>
  <si>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</si>
  <si>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</si>
  <si>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</si>
  <si>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</si>
  <si>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</si>
  <si>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</si>
  <si>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</si>
  <si>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</si>
  <si>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</si>
  <si>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</si>
  <si>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</si>
  <si>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</si>
  <si>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</si>
  <si>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</si>
  <si>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</si>
  <si>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</si>
  <si>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</si>
  <si>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</si>
  <si>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</si>
  <si>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</si>
  <si>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</si>
  <si>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</si>
  <si>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</si>
  <si>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</si>
  <si>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</si>
  <si>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</si>
  <si>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</si>
  <si>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</si>
  <si>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</si>
  <si>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</si>
  <si>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</si>
  <si>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</si>
  <si>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</si>
  <si>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</si>
  <si>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</si>
  <si>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</si>
  <si>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</si>
  <si>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</si>
  <si>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</si>
  <si>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</si>
  <si>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</si>
  <si>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</si>
  <si>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</si>
  <si>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</si>
  <si>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</si>
  <si>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</si>
  <si>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</si>
  <si>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</si>
  <si>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</si>
  <si>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</si>
  <si>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</si>
  <si>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</si>
  <si>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</si>
  <si>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</si>
  <si>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</si>
  <si>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</si>
  <si>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</si>
  <si>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</si>
  <si>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</si>
  <si>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</si>
  <si>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</si>
  <si>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</si>
  <si>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</si>
  <si>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</si>
  <si>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</si>
  <si>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</si>
  <si>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</si>
  <si>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</si>
  <si>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</si>
  <si>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</si>
  <si>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</si>
  <si>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</si>
  <si>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</si>
  <si>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</si>
  <si>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</si>
  <si>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</si>
  <si>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</si>
  <si>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</si>
  <si>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</si>
  <si>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</si>
  <si>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</si>
  <si>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</si>
  <si>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</si>
  <si>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</si>
  <si>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</si>
  <si>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</si>
  <si>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</si>
  <si>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</si>
  <si>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</si>
  <si>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</si>
  <si>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</si>
  <si>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</si>
  <si>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</si>
  <si>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</si>
  <si>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</si>
  <si>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</si>
  <si>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</si>
  <si>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</si>
  <si>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</si>
  <si>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</si>
  <si>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</si>
  <si>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</si>
  <si>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</si>
  <si>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</si>
  <si>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</si>
  <si>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</si>
  <si>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</si>
  <si>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</si>
  <si>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</si>
  <si>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</si>
  <si>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</si>
  <si>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</si>
  <si>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</si>
  <si>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</si>
  <si>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</si>
  <si>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</si>
  <si>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</si>
  <si>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</si>
  <si>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</si>
  <si>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</si>
  <si>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</si>
  <si>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</si>
  <si>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</si>
  <si>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</si>
  <si>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</si>
  <si>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</si>
  <si>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</si>
  <si>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</si>
  <si>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</si>
  <si>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</si>
  <si>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</si>
  <si>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</si>
  <si>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</si>
  <si>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</si>
  <si>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</si>
  <si>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</si>
  <si>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</si>
  <si>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</si>
  <si>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</si>
  <si>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</si>
  <si>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</si>
  <si>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</si>
  <si>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</si>
  <si>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</si>
  <si>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</si>
  <si>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</si>
  <si>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</si>
  <si>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</si>
  <si>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</si>
  <si>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</si>
  <si>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</si>
  <si>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</si>
  <si>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</si>
  <si>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</si>
  <si>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</si>
  <si>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</si>
  <si>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</si>
  <si>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</si>
  <si>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</si>
  <si>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</si>
  <si>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</si>
  <si>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</si>
  <si>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</si>
  <si>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</si>
  <si>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</si>
  <si>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</si>
  <si>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</si>
  <si>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</si>
  <si>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</si>
  <si>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</si>
  <si>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</si>
  <si>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</si>
  <si>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</si>
  <si>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</si>
  <si>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</si>
  <si>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</si>
  <si>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</si>
  <si>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</si>
  <si>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</si>
  <si>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</si>
  <si>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</si>
  <si>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</si>
  <si>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</si>
  <si>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</si>
  <si>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</si>
  <si>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</si>
  <si>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</si>
  <si>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</si>
  <si>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</si>
  <si>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</si>
  <si>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</si>
  <si>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</si>
  <si>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</si>
  <si>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</si>
  <si>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</si>
  <si>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</si>
  <si>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</si>
  <si>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</si>
  <si>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</si>
  <si>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</si>
  <si>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</si>
  <si>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</si>
  <si>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</si>
  <si>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</si>
  <si>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</si>
  <si>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</si>
  <si>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</si>
  <si>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</si>
  <si>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</si>
  <si>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</si>
  <si>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</si>
  <si>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</si>
  <si>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</si>
  <si>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</si>
  <si>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</si>
  <si>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</si>
  <si>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</si>
  <si>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</si>
  <si>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</si>
  <si>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</si>
  <si>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</si>
  <si>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</si>
  <si>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</si>
  <si>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</si>
  <si>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</si>
  <si>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</si>
  <si>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</si>
  <si>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</si>
  <si>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</si>
  <si>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</si>
  <si>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</si>
  <si>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</si>
  <si>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</si>
  <si>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</si>
  <si>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</si>
  <si>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</si>
  <si>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</si>
  <si>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</si>
  <si>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</si>
  <si>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</si>
  <si>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</si>
  <si>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</si>
  <si>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</si>
  <si>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</si>
  <si>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</si>
  <si>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</si>
  <si>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</si>
  <si>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</si>
  <si>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</si>
  <si>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</si>
  <si>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</si>
  <si>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</si>
  <si>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</si>
  <si>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</si>
  <si>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</si>
  <si>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</si>
  <si>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</si>
  <si>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</si>
  <si>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</si>
  <si>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</si>
  <si>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</si>
  <si>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</si>
  <si>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</si>
  <si>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</si>
  <si>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</si>
  <si>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</si>
  <si>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</si>
  <si>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</si>
  <si>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</si>
  <si>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</si>
  <si>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</si>
  <si>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</si>
  <si>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</si>
  <si>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</si>
  <si>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</si>
  <si>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</si>
  <si>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</si>
  <si>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</si>
  <si>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</si>
  <si>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</si>
  <si>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</si>
  <si>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</si>
  <si>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</si>
  <si>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</si>
  <si>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</si>
  <si>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</si>
  <si>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</si>
  <si>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</si>
  <si>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</si>
  <si>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</si>
  <si>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</si>
  <si>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</si>
  <si>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</si>
  <si>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</si>
  <si>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</si>
  <si>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</si>
  <si>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</si>
  <si>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</si>
  <si>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</si>
  <si>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</si>
  <si>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</si>
  <si>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</si>
  <si>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</si>
  <si>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</si>
  <si>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</si>
  <si>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</si>
  <si>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</si>
  <si>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</si>
  <si>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</si>
  <si>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</si>
  <si>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</si>
  <si>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</si>
  <si>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</si>
  <si>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</si>
  <si>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</si>
  <si>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</si>
  <si>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</si>
  <si>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</si>
  <si>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</si>
  <si>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</si>
  <si>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</si>
  <si>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</si>
  <si>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</si>
  <si>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</si>
  <si>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</si>
  <si>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</si>
  <si>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</si>
  <si>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</si>
  <si>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</si>
  <si>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</si>
  <si>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</si>
  <si>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</si>
  <si>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</si>
  <si>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</si>
  <si>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</si>
  <si>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</si>
  <si>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</si>
  <si>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</si>
  <si>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</si>
  <si>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</si>
  <si>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</si>
  <si>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</si>
  <si>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</si>
  <si>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</si>
  <si>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</si>
  <si>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</si>
  <si>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</si>
  <si>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</si>
  <si>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</si>
  <si>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</si>
  <si>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</si>
  <si>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</si>
  <si>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</si>
  <si>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</si>
  <si>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</si>
  <si>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</si>
  <si>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</si>
  <si>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</si>
  <si>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</si>
  <si>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</si>
  <si>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</si>
  <si>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</si>
  <si>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</si>
  <si>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</si>
  <si>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</si>
  <si>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</si>
  <si>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</si>
  <si>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</si>
  <si>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</si>
  <si>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</si>
  <si>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</si>
  <si>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</si>
  <si>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</si>
  <si>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</si>
  <si>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</si>
  <si>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</si>
  <si>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</si>
  <si>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</si>
  <si>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</si>
  <si>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</si>
  <si>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</si>
  <si>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</si>
  <si>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</si>
  <si>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</si>
  <si>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</si>
  <si>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</si>
  <si>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</si>
  <si>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</si>
  <si>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</si>
  <si>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</si>
  <si>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</si>
  <si>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</si>
  <si>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</si>
  <si>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</si>
  <si>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</si>
  <si>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</si>
  <si>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</si>
  <si>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</si>
  <si>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</si>
  <si>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</si>
  <si>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</si>
  <si>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</si>
  <si>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</si>
  <si>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</si>
  <si>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</si>
  <si>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</si>
  <si>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</si>
  <si>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</si>
  <si>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</si>
  <si>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</si>
  <si>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</si>
  <si>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</si>
  <si>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</si>
  <si>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</si>
  <si>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</si>
  <si>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</si>
  <si>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</si>
  <si>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</si>
  <si>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</si>
  <si>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</si>
  <si>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</si>
  <si>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</si>
  <si>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</si>
  <si>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</si>
  <si>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</si>
  <si>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</si>
  <si>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</si>
  <si>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</si>
  <si>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</si>
  <si>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</si>
  <si>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</si>
  <si>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</si>
  <si>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</si>
  <si>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</si>
  <si>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</si>
  <si>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</si>
  <si>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</si>
  <si>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</si>
  <si>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</si>
  <si>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</si>
  <si>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</si>
  <si>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</si>
  <si>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</si>
  <si>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</si>
  <si>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</si>
  <si>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</si>
  <si>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</si>
  <si>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</si>
  <si>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</si>
  <si>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</si>
  <si>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</si>
  <si>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</si>
  <si>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</si>
  <si>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</si>
  <si>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</si>
  <si>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</si>
  <si>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</si>
  <si>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</si>
  <si>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</si>
  <si>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</si>
  <si>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</si>
  <si>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</si>
  <si>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</si>
  <si>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</si>
  <si>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</si>
  <si>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</si>
  <si>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</si>
  <si>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</si>
  <si>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</si>
  <si>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</si>
  <si>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</si>
  <si>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</si>
  <si>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</si>
  <si>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</si>
  <si>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</si>
  <si>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</si>
  <si>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</si>
  <si>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</si>
  <si>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</si>
  <si>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</si>
  <si>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</si>
  <si>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</si>
  <si>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</si>
  <si>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</si>
  <si>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</si>
  <si>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</si>
  <si>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</si>
  <si>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</si>
  <si>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</si>
  <si>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</si>
  <si>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</si>
  <si>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</si>
  <si>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</si>
  <si>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</si>
  <si>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</si>
  <si>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</si>
  <si>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</si>
  <si>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</si>
  <si>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</si>
  <si>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</si>
  <si>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</si>
  <si>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</si>
  <si>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</si>
  <si>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</si>
  <si>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</si>
  <si>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</si>
  <si>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</si>
  <si>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</si>
  <si>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</si>
  <si>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</si>
  <si>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</si>
  <si>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</si>
  <si>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</si>
  <si>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</si>
  <si>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</si>
  <si>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</si>
  <si>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</si>
  <si>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</si>
  <si>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</si>
  <si>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</si>
  <si>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</si>
  <si>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</si>
  <si>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</si>
  <si>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</si>
  <si>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</si>
  <si>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</si>
  <si>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</si>
  <si>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</si>
  <si>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</si>
  <si>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</si>
  <si>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</si>
  <si>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</si>
  <si>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</si>
  <si>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</si>
  <si>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</si>
  <si>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</si>
  <si>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</si>
  <si>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</si>
  <si>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</si>
  <si>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</si>
  <si>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</si>
  <si>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</si>
  <si>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</si>
  <si>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</si>
  <si>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</si>
  <si>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</si>
  <si>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</si>
  <si>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</si>
  <si>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</si>
  <si>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</si>
  <si>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</si>
  <si>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</si>
  <si>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</si>
  <si>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</si>
  <si>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</si>
  <si>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</si>
  <si>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</si>
  <si>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</si>
  <si>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</si>
  <si>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</si>
  <si>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</si>
  <si>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</si>
  <si>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</si>
  <si>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</si>
  <si>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</si>
  <si>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</si>
  <si>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</si>
  <si>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</si>
  <si>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</si>
  <si>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</si>
  <si>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</si>
  <si>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</si>
  <si>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</si>
  <si>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</si>
  <si>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</si>
  <si>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</si>
  <si>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</si>
  <si>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</si>
  <si>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</si>
  <si>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</si>
  <si>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</si>
  <si>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</si>
  <si>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</si>
  <si>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</si>
  <si>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</si>
  <si>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</si>
  <si>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</si>
  <si>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</si>
  <si>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</si>
  <si>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</si>
  <si>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</si>
  <si>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</si>
  <si>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</si>
  <si>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</si>
  <si>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</si>
  <si>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</si>
  <si>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</si>
  <si>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</si>
  <si>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</si>
  <si>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</si>
  <si>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</si>
  <si>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</si>
  <si>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</si>
  <si>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</si>
  <si>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</si>
  <si>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</si>
  <si>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</si>
  <si>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</si>
  <si>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</si>
  <si>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</si>
  <si>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</si>
  <si>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</si>
  <si>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</si>
  <si>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</si>
  <si>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</si>
  <si>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</si>
  <si>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</si>
  <si>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</si>
  <si>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</si>
  <si>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</si>
  <si>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</si>
  <si>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</si>
  <si>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</si>
  <si>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</si>
  <si>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</si>
  <si>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</si>
  <si>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</si>
  <si>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</si>
  <si>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</si>
  <si>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</si>
  <si>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</si>
  <si>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</si>
  <si>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</si>
  <si>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</si>
  <si>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</si>
  <si>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</si>
  <si>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</si>
  <si>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</si>
  <si>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</si>
  <si>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</si>
  <si>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</si>
  <si>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</si>
  <si>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</si>
  <si>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</si>
  <si>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</si>
  <si>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</si>
  <si>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</si>
  <si>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</si>
  <si>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</si>
  <si>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</si>
  <si>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</si>
  <si>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</si>
  <si>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</si>
  <si>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</si>
  <si>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</si>
  <si>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</si>
  <si>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</si>
  <si>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</si>
  <si>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</si>
  <si>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</si>
  <si>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</si>
  <si>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</si>
  <si>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</si>
  <si>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</si>
  <si>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</si>
  <si>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</si>
  <si>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</si>
  <si>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</si>
  <si>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</si>
  <si>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</si>
  <si>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</si>
  <si>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</si>
  <si>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</si>
  <si>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</si>
  <si>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</si>
  <si>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</si>
  <si>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</si>
  <si>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</si>
  <si>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</si>
  <si>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</si>
  <si>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</si>
  <si>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</si>
  <si>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</si>
  <si>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</si>
  <si>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</si>
  <si>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</si>
  <si>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</si>
  <si>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</si>
  <si>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</si>
  <si>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</si>
  <si>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</si>
  <si>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</si>
  <si>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</si>
  <si>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</si>
  <si>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</si>
  <si>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</si>
  <si>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</si>
  <si>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</si>
  <si>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</si>
  <si>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</si>
  <si>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</si>
  <si>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</si>
  <si>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</si>
  <si>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</si>
  <si>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</si>
  <si>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</si>
  <si>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</si>
  <si>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</si>
  <si>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</si>
  <si>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</si>
  <si>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</si>
  <si>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</si>
  <si>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</si>
  <si>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</si>
  <si>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</si>
  <si>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</si>
  <si>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</si>
  <si>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</si>
  <si>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</si>
  <si>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</si>
  <si>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</si>
  <si>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</si>
  <si>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</si>
  <si>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</si>
  <si>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</si>
  <si>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</si>
  <si>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</si>
  <si>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</si>
  <si>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</si>
  <si>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</si>
  <si>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</si>
  <si>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</si>
  <si>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</si>
  <si>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</si>
  <si>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</si>
  <si>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</si>
  <si>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</si>
  <si>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</si>
  <si>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</si>
  <si>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</si>
  <si>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</si>
  <si>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</si>
  <si>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</si>
  <si>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</si>
  <si>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</si>
  <si>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</si>
  <si>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</si>
  <si>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</si>
  <si>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</si>
  <si>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</si>
  <si>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</si>
  <si>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</si>
  <si>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</si>
  <si>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</si>
  <si>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</si>
  <si>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</si>
  <si>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</si>
  <si>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</si>
  <si>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</si>
  <si>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</si>
  <si>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</si>
  <si>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</si>
  <si>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</si>
  <si>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</si>
  <si>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</si>
  <si>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</si>
  <si>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</si>
  <si>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</si>
  <si>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</si>
  <si>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</si>
  <si>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</si>
  <si>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</si>
  <si>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</si>
  <si>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</si>
  <si>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</si>
  <si>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</si>
  <si>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</si>
  <si>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</si>
  <si>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</si>
  <si>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</si>
  <si>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</si>
  <si>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</si>
  <si>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</si>
  <si>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</si>
  <si>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</si>
  <si>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</si>
  <si>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</si>
  <si>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</si>
  <si>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</si>
  <si>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</si>
  <si>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</si>
  <si>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</si>
  <si>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</si>
  <si>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</si>
  <si>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</si>
  <si>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</si>
  <si>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</si>
  <si>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</si>
  <si>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</si>
  <si>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</si>
  <si>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</si>
  <si>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</si>
  <si>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</si>
  <si>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</si>
  <si>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</si>
  <si>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</si>
  <si>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</si>
  <si>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</si>
  <si>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</si>
  <si>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</si>
  <si>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</si>
  <si>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</si>
  <si>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</si>
  <si>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</si>
  <si>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</si>
  <si>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</si>
  <si>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</si>
  <si>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</si>
  <si>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</si>
  <si>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</si>
  <si>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</si>
  <si>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</si>
  <si>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</si>
  <si>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</si>
  <si>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</si>
  <si>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</si>
  <si>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</si>
  <si>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</si>
  <si>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</si>
  <si>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</si>
  <si>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</si>
  <si>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</si>
  <si>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</si>
  <si>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</si>
  <si>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</si>
  <si>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</si>
  <si>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</si>
  <si>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</si>
  <si>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</si>
  <si>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</si>
  <si>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</si>
  <si>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</si>
  <si>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</si>
  <si>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</si>
  <si>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</si>
  <si>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</si>
  <si>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</si>
  <si>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</si>
  <si>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</si>
  <si>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</si>
  <si>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</si>
  <si>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</si>
  <si>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</si>
  <si>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</si>
  <si>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</si>
  <si>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</si>
  <si>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</si>
  <si>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</si>
  <si>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</si>
  <si>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</si>
  <si>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</si>
  <si>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</si>
  <si>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</si>
  <si>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</si>
  <si>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</si>
  <si>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</si>
  <si>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</si>
  <si>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</si>
  <si>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</si>
  <si>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</si>
  <si>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</si>
  <si>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</si>
  <si>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</si>
  <si>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</si>
  <si>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</si>
  <si>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</si>
  <si>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</si>
  <si>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</si>
  <si>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</si>
  <si>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</si>
  <si>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</si>
  <si>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</si>
  <si>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</si>
  <si>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</si>
  <si>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</si>
  <si>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</si>
  <si>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</si>
  <si>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</si>
  <si>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</si>
  <si>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</si>
  <si>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</si>
  <si>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</si>
  <si>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</si>
  <si>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</si>
  <si>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</si>
  <si>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</si>
  <si>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</si>
  <si>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</si>
  <si>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</si>
  <si>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</si>
  <si>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</si>
  <si>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</si>
  <si>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</si>
  <si>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</si>
  <si>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</si>
  <si>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</si>
  <si>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</si>
  <si>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</si>
  <si>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</si>
  <si>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</si>
  <si>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</si>
  <si>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</si>
  <si>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</si>
  <si>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</si>
  <si>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</si>
  <si>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</si>
  <si>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</si>
  <si>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</si>
  <si>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</si>
  <si>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</si>
  <si>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</si>
  <si>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</si>
  <si>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</si>
  <si>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</si>
  <si>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</si>
  <si>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</si>
  <si>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</si>
  <si>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</si>
  <si>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</si>
  <si>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</si>
  <si>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</si>
  <si>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</si>
  <si>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</si>
  <si>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</si>
  <si>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</si>
  <si>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</si>
  <si>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</si>
  <si>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</si>
  <si>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</si>
  <si>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</si>
  <si>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</si>
  <si>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</si>
  <si>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</si>
  <si>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</si>
  <si>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</si>
  <si>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</si>
  <si>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</si>
  <si>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</si>
  <si>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</si>
  <si>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</si>
  <si>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</si>
  <si>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</si>
  <si>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</si>
  <si>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</si>
  <si>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</si>
  <si>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</si>
  <si>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</si>
  <si>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</si>
  <si>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</si>
  <si>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</si>
  <si>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</si>
  <si>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</si>
  <si>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</si>
  <si>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</si>
  <si>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</si>
  <si>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</si>
  <si>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</si>
  <si>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</si>
  <si>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</si>
  <si>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</si>
  <si>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</si>
  <si>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</si>
  <si>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</si>
  <si>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</si>
  <si>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</si>
  <si>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</si>
  <si>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</si>
  <si>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</si>
  <si>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</si>
  <si>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</si>
  <si>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</si>
  <si>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</si>
  <si>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</si>
  <si>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</si>
  <si>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</si>
  <si>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</si>
  <si>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</si>
  <si>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</si>
  <si>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</si>
  <si>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</si>
  <si>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</si>
  <si>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</si>
  <si>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</si>
  <si>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</si>
  <si>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</si>
  <si>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</si>
  <si>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</si>
  <si>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</si>
  <si>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</si>
  <si>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</si>
  <si>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</si>
  <si>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</si>
  <si>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</si>
  <si>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</si>
  <si>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</si>
  <si>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</si>
  <si>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</si>
  <si>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</si>
  <si>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</si>
  <si>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</si>
  <si>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</si>
  <si>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</si>
  <si>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</si>
  <si>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</si>
  <si>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</si>
  <si>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</si>
  <si>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</si>
  <si>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</si>
  <si>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</si>
  <si>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</si>
  <si>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</si>
  <si>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</si>
  <si>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</si>
  <si>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</si>
  <si>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</si>
  <si>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</si>
  <si>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</si>
  <si>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</si>
  <si>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</si>
  <si>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</si>
  <si>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</si>
  <si>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</si>
  <si>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</si>
  <si>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</si>
  <si>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</si>
  <si>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</si>
  <si>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</si>
  <si>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</si>
  <si>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</si>
  <si>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</si>
  <si>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</si>
  <si>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</si>
  <si>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</si>
  <si>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</si>
  <si>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</si>
  <si>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</si>
  <si>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</si>
  <si>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</si>
  <si>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</si>
  <si>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</si>
  <si>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</si>
  <si>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</si>
  <si>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</si>
  <si>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</si>
  <si>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</si>
  <si>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</si>
  <si>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</si>
  <si>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</si>
  <si>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</si>
  <si>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</si>
  <si>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</si>
  <si>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</si>
  <si>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</si>
  <si>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</si>
  <si>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</si>
  <si>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</si>
  <si>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</si>
  <si>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</si>
  <si>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</si>
  <si>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</si>
  <si>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</si>
  <si>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</si>
  <si>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</si>
  <si>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</si>
  <si>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</si>
  <si>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</si>
  <si>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</si>
  <si>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</si>
  <si>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</si>
  <si>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</si>
  <si>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</si>
  <si>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</si>
  <si>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</si>
  <si>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</si>
  <si>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</si>
  <si>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</si>
  <si>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</si>
  <si>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</si>
  <si>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</si>
  <si>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</si>
  <si>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</si>
  <si>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</si>
  <si>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</si>
  <si>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</si>
  <si>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</si>
  <si>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</si>
  <si>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</si>
  <si>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</si>
  <si>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</si>
  <si>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</si>
  <si>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</si>
  <si>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</si>
  <si>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</si>
  <si>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</si>
  <si>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</si>
  <si>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</si>
  <si>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</si>
  <si>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</si>
  <si>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</si>
  <si>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</si>
  <si>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</si>
  <si>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</si>
  <si>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</si>
  <si>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</si>
  <si>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</si>
  <si>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</si>
  <si>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</si>
  <si>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</si>
  <si>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</si>
  <si>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</si>
  <si>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</si>
  <si>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</si>
  <si>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</si>
  <si>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</si>
  <si>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</si>
  <si>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</si>
  <si>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</si>
  <si>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</si>
  <si>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</si>
  <si>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</si>
  <si>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</si>
  <si>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</si>
  <si>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</si>
  <si>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</si>
  <si>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</si>
  <si>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</si>
  <si>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</si>
  <si>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</si>
  <si>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</si>
  <si>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</si>
  <si>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</si>
  <si>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</si>
  <si>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</si>
  <si>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</si>
  <si>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</si>
  <si>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</si>
  <si>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</si>
  <si>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</si>
  <si>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</si>
  <si>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</si>
  <si>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</si>
  <si>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</si>
  <si>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</si>
  <si>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</si>
  <si>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</si>
  <si>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</si>
  <si>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</si>
  <si>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</si>
  <si>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</si>
  <si>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</si>
  <si>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</si>
  <si>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</si>
  <si>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</si>
  <si>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</si>
  <si>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</si>
  <si>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</si>
  <si>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</si>
  <si>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</si>
  <si>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</si>
  <si>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</si>
  <si>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</si>
  <si>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</si>
  <si>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</si>
  <si>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</si>
  <si>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</si>
  <si>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</si>
  <si>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</si>
  <si>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</si>
  <si>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</si>
  <si>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</si>
  <si>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Ⅸ-雁栖开发区A</t>
  </si>
  <si>
    <r>
      <t>12</t>
    </r>
    <r>
      <rPr>
        <sz val="10"/>
        <color indexed="8"/>
        <rFont val="宋体"/>
        <family val="3"/>
        <charset val="134"/>
      </rPr>
      <t>号楼</t>
    </r>
    <phoneticPr fontId="3" type="noConversion"/>
  </si>
  <si>
    <t>是</t>
  </si>
  <si>
    <r>
      <t>13</t>
    </r>
    <r>
      <rPr>
        <sz val="10"/>
        <color indexed="8"/>
        <rFont val="宋体"/>
        <family val="3"/>
        <charset val="134"/>
      </rPr>
      <t>号楼</t>
    </r>
    <phoneticPr fontId="3" type="noConversion"/>
  </si>
  <si>
    <t>否</t>
  </si>
  <si>
    <t>地上</t>
  </si>
  <si>
    <t>地下</t>
  </si>
  <si>
    <t>研发</t>
  </si>
  <si>
    <t>公共服务</t>
  </si>
  <si>
    <t>成新度</t>
  </si>
  <si>
    <t>估价对象容积率</t>
  </si>
  <si>
    <t>与级别开发程度一致</t>
  </si>
  <si>
    <t>中心城区以外</t>
  </si>
  <si>
    <t>一般</t>
  </si>
  <si>
    <t>未包含在土地购买价格中</t>
  </si>
  <si>
    <t>全部缴纳</t>
  </si>
  <si>
    <t>已包含在土地取得成本中</t>
  </si>
  <si>
    <t>押一</t>
  </si>
  <si>
    <t>钢混</t>
  </si>
  <si>
    <t>非生产用房</t>
  </si>
  <si>
    <t>总价</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</si>
  <si>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</si>
  <si>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</si>
  <si>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</si>
  <si>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</si>
  <si>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</si>
  <si>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</si>
  <si>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</si>
  <si>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</si>
  <si>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</si>
  <si>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</si>
  <si>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</si>
  <si>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</si>
  <si>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</si>
  <si>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</si>
  <si>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</si>
  <si>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</si>
  <si>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</si>
  <si>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</si>
  <si>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</si>
  <si>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</si>
  <si>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</si>
  <si>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</si>
  <si>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</si>
  <si>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</si>
  <si>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</si>
  <si>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</si>
  <si>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</si>
  <si>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</si>
  <si>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</si>
  <si>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</si>
  <si>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</si>
  <si>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</si>
  <si>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</si>
  <si>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</si>
  <si>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</si>
  <si>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</si>
  <si>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</si>
  <si>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</si>
  <si>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</si>
  <si>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</si>
  <si>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</si>
  <si>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</si>
  <si>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</si>
  <si>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</si>
  <si>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</si>
  <si>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</si>
  <si>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</si>
  <si>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</si>
  <si>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</si>
  <si>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</si>
  <si>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</si>
  <si>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</si>
  <si>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</si>
  <si>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</si>
  <si>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</si>
  <si>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</si>
  <si>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</si>
  <si>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</si>
  <si>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</si>
  <si>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</si>
  <si>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</si>
  <si>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</si>
  <si>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</si>
  <si>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</si>
  <si>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</si>
  <si>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</si>
  <si>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</si>
  <si>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</si>
  <si>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</si>
  <si>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</si>
  <si>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</si>
  <si>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</si>
  <si>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</si>
  <si>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</si>
  <si>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</si>
  <si>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</si>
  <si>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</si>
  <si>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</si>
  <si>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</si>
  <si>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</si>
  <si>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</si>
  <si>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</si>
  <si>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</si>
  <si>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</si>
  <si>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</si>
  <si>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</si>
  <si>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</si>
  <si>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</si>
  <si>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</si>
  <si>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</si>
  <si>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</si>
  <si>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</si>
  <si>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</si>
  <si>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</si>
  <si>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</si>
  <si>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</si>
  <si>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</si>
  <si>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</si>
  <si>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</si>
  <si>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</si>
  <si>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</si>
  <si>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</si>
  <si>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</si>
  <si>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</si>
  <si>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</si>
  <si>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</si>
  <si>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</si>
  <si>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</si>
  <si>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</si>
  <si>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</si>
  <si>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</si>
  <si>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</si>
  <si>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</si>
  <si>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</si>
  <si>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</si>
  <si>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</si>
  <si>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</si>
  <si>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</si>
  <si>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</si>
  <si>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</si>
  <si>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</si>
  <si>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</si>
  <si>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</si>
  <si>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</si>
  <si>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</si>
  <si>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</si>
  <si>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</si>
  <si>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</si>
  <si>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</si>
  <si>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</si>
  <si>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</si>
  <si>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</si>
  <si>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</si>
  <si>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</si>
  <si>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</si>
  <si>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</si>
  <si>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</si>
  <si>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</si>
  <si>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</si>
  <si>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</si>
  <si>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</si>
  <si>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</si>
  <si>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</si>
  <si>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</si>
  <si>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</si>
  <si>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</si>
  <si>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</si>
  <si>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</si>
  <si>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</si>
  <si>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</si>
  <si>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</si>
  <si>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</si>
  <si>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</si>
  <si>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</si>
  <si>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</si>
  <si>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</si>
  <si>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</si>
  <si>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</si>
  <si>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</si>
  <si>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</si>
  <si>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</si>
  <si>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</si>
  <si>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</si>
  <si>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</si>
  <si>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</si>
  <si>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</si>
  <si>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</si>
  <si>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</si>
  <si>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</si>
  <si>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</si>
  <si>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</si>
  <si>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</si>
  <si>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</si>
  <si>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</si>
  <si>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</si>
  <si>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</si>
  <si>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</si>
  <si>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</si>
  <si>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</si>
  <si>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</si>
  <si>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</si>
  <si>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</si>
  <si>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</si>
  <si>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研发</t>
    <phoneticPr fontId="30" type="noConversion"/>
  </si>
  <si>
    <r>
      <t>F3</t>
    </r>
    <r>
      <rPr>
        <sz val="11"/>
        <rFont val="宋体"/>
        <family val="3"/>
        <charset val="134"/>
      </rPr>
      <t>其他多功能</t>
    </r>
    <phoneticPr fontId="30" type="noConversion"/>
  </si>
  <si>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</si>
  <si>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</si>
  <si>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</si>
  <si>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</si>
  <si>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</si>
  <si>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</si>
  <si>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</si>
  <si>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</si>
  <si>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</si>
  <si>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</si>
  <si>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</si>
  <si>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</si>
  <si>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</si>
  <si>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</si>
  <si>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</si>
  <si>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</si>
  <si>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</si>
  <si>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</si>
  <si>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</si>
  <si>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</si>
  <si>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</si>
  <si>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</si>
  <si>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</si>
  <si>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</si>
  <si>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较差</t>
  </si>
  <si>
    <t>差</t>
  </si>
  <si>
    <t>雁栖大街53号</t>
    <phoneticPr fontId="3" type="noConversion"/>
  </si>
  <si>
    <t>正常</t>
  </si>
  <si>
    <t>F3其他多功能</t>
  </si>
  <si>
    <t>无</t>
    <phoneticPr fontId="3" type="noConversion"/>
  </si>
  <si>
    <t>无</t>
    <phoneticPr fontId="3" type="noConversion"/>
  </si>
  <si>
    <t>无</t>
    <phoneticPr fontId="3" type="noConversion"/>
  </si>
  <si>
    <t>全面积自持10年</t>
  </si>
  <si>
    <t>建筑物价值</t>
  </si>
  <si>
    <t>13号楼</t>
    <phoneticPr fontId="134" type="noConversion"/>
  </si>
  <si>
    <t>建筑面积</t>
    <phoneticPr fontId="134" type="noConversion"/>
  </si>
  <si>
    <t>楼号</t>
    <phoneticPr fontId="134" type="noConversion"/>
  </si>
  <si>
    <t>租赁合同</t>
    <phoneticPr fontId="134" type="noConversion"/>
  </si>
  <si>
    <t>租赁期</t>
    <phoneticPr fontId="134" type="noConversion"/>
  </si>
  <si>
    <t>租金</t>
    <phoneticPr fontId="134" type="noConversion"/>
  </si>
  <si>
    <t>年付</t>
    <phoneticPr fontId="134" type="noConversion"/>
  </si>
  <si>
    <t>支付方式</t>
    <phoneticPr fontId="134" type="noConversion"/>
  </si>
  <si>
    <t>押金</t>
    <phoneticPr fontId="134" type="noConversion"/>
  </si>
  <si>
    <t>承租方</t>
    <phoneticPr fontId="134" type="noConversion"/>
  </si>
  <si>
    <t>北京市长城伟业投资开发总公司</t>
    <phoneticPr fontId="134" type="noConversion"/>
  </si>
  <si>
    <t>股东</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</si>
  <si>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</si>
  <si>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</si>
  <si>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</si>
  <si>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t>
    <phoneticPr fontId="134" type="noConversion"/>
  </si>
  <si>
    <t>当前年租金（含税）</t>
    <phoneticPr fontId="134" type="noConversion"/>
  </si>
  <si>
    <t>中航建设集团有限公司</t>
    <phoneticPr fontId="134" type="noConversion"/>
  </si>
  <si>
    <t>2017年6月1日至2027年5月31日</t>
    <phoneticPr fontId="134" type="noConversion"/>
  </si>
  <si>
    <t>季度付</t>
    <phoneticPr fontId="134" type="noConversion"/>
  </si>
  <si>
    <t>关联公司</t>
    <phoneticPr fontId="134" type="noConversion"/>
  </si>
  <si>
    <t>直线</t>
    <phoneticPr fontId="3" type="noConversion"/>
  </si>
  <si>
    <t>12号楼</t>
  </si>
  <si>
    <t>12号楼</t>
    <phoneticPr fontId="7" type="noConversion"/>
  </si>
  <si>
    <t>13号楼</t>
    <phoneticPr fontId="7"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</si>
  <si>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</si>
  <si>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</si>
  <si>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</si>
  <si>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</si>
  <si>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</si>
  <si>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</si>
  <si>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</si>
  <si>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</si>
  <si>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人防</t>
    <phoneticPr fontId="3" type="noConversion"/>
  </si>
  <si>
    <t>综合平均</t>
  </si>
  <si>
    <t>装修</t>
    <phoneticPr fontId="3" type="noConversion"/>
  </si>
  <si>
    <t>收益法12号楼</t>
  </si>
  <si>
    <t>收益法12号楼</t>
    <phoneticPr fontId="16" type="noConversion"/>
  </si>
  <si>
    <t>收益法13号楼</t>
  </si>
  <si>
    <t>收益法13号楼</t>
    <phoneticPr fontId="16" type="noConversion"/>
  </si>
  <si>
    <t>比较法-办公12号楼</t>
    <phoneticPr fontId="16" type="noConversion"/>
  </si>
  <si>
    <t>比较法-办公13号楼</t>
    <phoneticPr fontId="16" type="noConversion"/>
  </si>
  <si>
    <t>项目模式</t>
  </si>
  <si>
    <t>售价</t>
  </si>
  <si>
    <t>怀柔雁栖大街53号院12号楼</t>
    <phoneticPr fontId="3" type="noConversion"/>
  </si>
  <si>
    <t>研发</t>
    <phoneticPr fontId="31" type="noConversion"/>
  </si>
  <si>
    <t>办公</t>
    <phoneticPr fontId="31" type="noConversion"/>
  </si>
  <si>
    <t>翡翠华庭家园</t>
    <phoneticPr fontId="3" type="noConversion"/>
  </si>
  <si>
    <t>40-50</t>
    <phoneticPr fontId="31" type="noConversion"/>
  </si>
  <si>
    <t>北京城建·府前龙樾</t>
    <phoneticPr fontId="3" type="noConversion"/>
  </si>
  <si>
    <t>整栋</t>
  </si>
  <si>
    <t>整栋</t>
    <phoneticPr fontId="31" type="noConversion"/>
  </si>
  <si>
    <t>整层</t>
  </si>
  <si>
    <t>整层</t>
    <phoneticPr fontId="31" type="noConversion"/>
  </si>
  <si>
    <t>写字楼</t>
  </si>
  <si>
    <t>写字楼</t>
    <phoneticPr fontId="31" type="noConversion"/>
  </si>
  <si>
    <t>钢混</t>
    <phoneticPr fontId="31" type="noConversion"/>
  </si>
  <si>
    <t>精装修</t>
  </si>
  <si>
    <t>精装修</t>
    <phoneticPr fontId="31" type="noConversion"/>
  </si>
  <si>
    <t>普装装修</t>
    <phoneticPr fontId="31" type="noConversion"/>
  </si>
  <si>
    <t>简单装修</t>
    <phoneticPr fontId="31" type="noConversion"/>
  </si>
  <si>
    <t>专业</t>
  </si>
  <si>
    <t>专业</t>
    <phoneticPr fontId="31" type="noConversion"/>
  </si>
  <si>
    <t>标准</t>
  </si>
  <si>
    <t>标准</t>
    <phoneticPr fontId="31" type="noConversion"/>
  </si>
  <si>
    <t>比较法-办公12号楼</t>
  </si>
  <si>
    <t>现房</t>
  </si>
  <si>
    <t>收益比率</t>
  </si>
  <si>
    <t>地下占比</t>
    <phoneticPr fontId="31" type="noConversion"/>
  </si>
  <si>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</si>
  <si>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</si>
  <si>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地上</t>
    <phoneticPr fontId="3" type="noConversion"/>
  </si>
  <si>
    <t>地下</t>
    <phoneticPr fontId="3" type="noConversion"/>
  </si>
  <si>
    <t>综合租金</t>
    <phoneticPr fontId="3" type="noConversion"/>
  </si>
  <si>
    <t>13号楼</t>
  </si>
  <si>
    <t>比较法-办公13号楼</t>
  </si>
  <si>
    <t>毛坯</t>
  </si>
  <si>
    <t>毛坯</t>
    <phoneticPr fontId="31" type="noConversion"/>
  </si>
  <si>
    <t>毛坯</t>
    <phoneticPr fontId="134" type="noConversion"/>
  </si>
  <si>
    <r>
      <t>12</t>
    </r>
    <r>
      <rPr>
        <sz val="11"/>
        <color indexed="8"/>
        <rFont val="宋体"/>
        <family val="3"/>
        <charset val="134"/>
      </rPr>
      <t>、</t>
    </r>
    <r>
      <rPr>
        <sz val="11"/>
        <color indexed="8"/>
        <rFont val="Arial"/>
        <family val="2"/>
      </rPr>
      <t>13</t>
    </r>
    <r>
      <rPr>
        <sz val="11"/>
        <color indexed="8"/>
        <rFont val="宋体"/>
        <family val="3"/>
        <charset val="134"/>
      </rPr>
      <t>号楼</t>
    </r>
    <phoneticPr fontId="3" type="noConversion"/>
  </si>
  <si>
    <t>郑燚</t>
  </si>
  <si>
    <t>吴薇</t>
  </si>
  <si>
    <t>翡翠华庭家园</t>
    <phoneticPr fontId="3" type="noConversion"/>
  </si>
  <si>
    <t>40-50</t>
    <phoneticPr fontId="31" type="noConversion"/>
  </si>
  <si>
    <t>30-40</t>
    <phoneticPr fontId="31" type="noConversion"/>
  </si>
  <si>
    <t>20-30</t>
    <phoneticPr fontId="31" type="noConversion"/>
  </si>
  <si>
    <t>20-30</t>
    <phoneticPr fontId="31" type="noConversion"/>
  </si>
  <si>
    <t>12号楼大堂、3-6层，含30个地下车位</t>
    <phoneticPr fontId="134" type="noConversion"/>
  </si>
  <si>
    <t>3年摊销</t>
    <phoneticPr fontId="134" type="noConversion"/>
  </si>
  <si>
    <t>10年摊销</t>
    <phoneticPr fontId="134" type="noConversion"/>
  </si>
  <si>
    <t>装修费用（每年）</t>
    <phoneticPr fontId="134" type="noConversion"/>
  </si>
  <si>
    <t>12号</t>
    <phoneticPr fontId="134" type="noConversion"/>
  </si>
  <si>
    <t>13号</t>
    <phoneticPr fontId="134" type="noConversion"/>
  </si>
  <si>
    <t>剩余租赁期</t>
    <phoneticPr fontId="134" type="noConversion"/>
  </si>
  <si>
    <t>2018年6月15日至2028年6月14日</t>
    <phoneticPr fontId="134" type="noConversion"/>
  </si>
  <si>
    <t>2018年1月1日至2027年12月31日</t>
    <phoneticPr fontId="134" type="noConversion"/>
  </si>
  <si>
    <t>年租金</t>
    <phoneticPr fontId="134" type="noConversion"/>
  </si>
  <si>
    <t>建筑面积</t>
    <phoneticPr fontId="134" type="noConversion"/>
  </si>
  <si>
    <t>租金单价</t>
    <phoneticPr fontId="134" type="noConversion"/>
  </si>
  <si>
    <t>到期成新度</t>
    <phoneticPr fontId="134" type="noConversion"/>
  </si>
  <si>
    <t>自定义</t>
  </si>
  <si>
    <t>情况3</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</si>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</sst>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rgb="FF000000"/>
      <name val="宋体"/>
      <family val="3"/>
      <charset val="134"/>
    </font>
    <font>
      <sz val="11"/>
      <color rgb="FF000000"/>
      <name val="Arial"/>
      <family val="2"/>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269" fillId="0" borderId="0" xfId="19" applyNumberFormat="1" applyAlignment="1">
      <alignment horizontal="left"/>
    </xf>
    <xf numFmtId="0" fontId="269" fillId="5" borderId="0" xfId="19" applyNumberFormat="1" applyFill="1" applyAlignment="1">
      <alignment horizontal="left"/>
    </xf>
    <xf numFmtId="14" fontId="269" fillId="5" borderId="0" xfId="19" applyNumberFormat="1" applyFill="1" applyAlignment="1">
      <alignment horizontal="left"/>
    </xf>
    <xf numFmtId="14" fontId="269" fillId="0" borderId="0" xfId="19" applyNumberFormat="1" applyAlignment="1">
      <alignment horizontal="left"/>
    </xf>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2" fillId="0" borderId="7"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9" fontId="44" fillId="7" borderId="23" xfId="0" applyNumberFormat="1" applyFont="1" applyFill="1" applyBorder="1" applyAlignment="1" applyProtection="1">
      <alignment horizontal="center" vertical="center"/>
      <protection locked="0"/>
    </xf>
    <xf numFmtId="196" fontId="159" fillId="12" borderId="0" xfId="12" applyNumberFormat="1" applyFill="1" applyBorder="1" applyAlignment="1" applyProtection="1">
      <alignment horizontal="left"/>
      <protection locked="0"/>
    </xf>
    <xf numFmtId="196" fontId="159" fillId="12" borderId="0" xfId="12" applyNumberFormat="1" applyFill="1" applyAlignment="1" applyProtection="1">
      <alignment horizontal="left"/>
      <protection locked="0"/>
    </xf>
    <xf numFmtId="0" fontId="44" fillId="0" borderId="1" xfId="0" applyFont="1" applyBorder="1" applyAlignment="1" applyProtection="1">
      <alignment horizontal="center" vertical="center"/>
      <protection locked="0"/>
    </xf>
    <xf numFmtId="31" fontId="107" fillId="0" borderId="0" xfId="0" applyNumberFormat="1" applyFont="1" applyAlignment="1">
      <alignment horizontal="left" vertical="center"/>
    </xf>
    <xf numFmtId="0" fontId="47" fillId="6" borderId="0" xfId="0" applyNumberFormat="1" applyFont="1" applyFill="1" applyProtection="1">
      <alignment vertical="center"/>
      <protection locked="0"/>
    </xf>
    <xf numFmtId="0" fontId="100" fillId="0" borderId="3"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估价对象为北京市房地产，为所有。根据《国有土地使用证》[]，估价对象（分摊）出让国有建设用地使用权面积为17362.38平方米，建筑面积为36780.86平方米。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估价对象为北京市房地产,属开发建设的，该项目尚在开发建设中。根据《国有土地使用证》[]，估价对象（分摊）出让国有建设用地使用权面积为17362.38平方米，规划建筑面积为36780.86平方米。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2024年3月21日（评估专业人员实地查勘之日）</v>
      </c>
    </row>
    <row r="13" spans="1:2" s="1202" customFormat="1">
      <c r="A13" s="1200" t="s">
        <v>529</v>
      </c>
      <c r="B13" s="1201"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27720</v>
      </c>
    </row>
    <row r="21" spans="1:2" s="1202" customFormat="1">
      <c r="A21" s="1200" t="s">
        <v>537</v>
      </c>
      <c r="B21" s="1201">
        <f ca="1">'预评函-2'!D7</f>
        <v>24130</v>
      </c>
    </row>
    <row r="22" spans="1:2" s="1202" customFormat="1">
      <c r="A22" s="1200" t="s">
        <v>538</v>
      </c>
      <c r="B22" s="1201" t="str">
        <f ca="1">'预评函-2'!D6</f>
        <v>贰亿柒仟柒佰贰拾万元整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27720</v>
      </c>
    </row>
    <row r="31" spans="1:2" s="1202" customFormat="1">
      <c r="A31" s="1200" t="s">
        <v>576</v>
      </c>
      <c r="B31" s="1201">
        <f ca="1">'预评函-2'!D15</f>
        <v>24130</v>
      </c>
    </row>
    <row r="32" spans="1:2" s="1202" customFormat="1">
      <c r="A32" s="1200" t="s">
        <v>543</v>
      </c>
      <c r="B32" s="1201" t="str">
        <f ca="1">'预评函-2'!D14</f>
        <v>贰亿柒仟柒佰贰拾万元整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10539</v>
      </c>
    </row>
    <row r="39" spans="1:2" s="1202" customFormat="1">
      <c r="A39" s="1200" t="s">
        <v>545</v>
      </c>
      <c r="B39" s="1201">
        <f ca="1">'预评函-2'!D21</f>
        <v>2865</v>
      </c>
    </row>
    <row r="40" spans="1:2" s="1202" customFormat="1">
      <c r="A40" s="1200" t="s">
        <v>546</v>
      </c>
      <c r="B40" s="1201" t="str">
        <f ca="1">'预评函-2'!D20</f>
        <v>壹亿零伍佰叁拾玖万元整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36780.86</v>
      </c>
    </row>
    <row r="44" spans="1:2" s="1202" customFormat="1">
      <c r="A44" s="1200" t="s">
        <v>575</v>
      </c>
      <c r="B44" s="1201" t="str">
        <f>'预评函-3'!C2</f>
        <v>(分摊)土地面积</v>
      </c>
    </row>
    <row r="45" spans="1:2" s="1202" customFormat="1">
      <c r="A45" s="1200" t="s">
        <v>547</v>
      </c>
      <c r="B45" s="1201">
        <f>'预评函-3'!C4</f>
        <v>17362.38</v>
      </c>
    </row>
    <row r="46" spans="1:2" s="1202" customFormat="1">
      <c r="A46" s="1200" t="s">
        <v>573</v>
      </c>
      <c r="B46" s="1201" t="str">
        <f>'预评函-3'!D2</f>
        <v>出让国有建设用地使用权价值</v>
      </c>
    </row>
    <row r="47" spans="1:2" s="1202" customFormat="1">
      <c r="A47" s="1200" t="s">
        <v>548</v>
      </c>
      <c r="B47" s="1201">
        <f ca="1">'预评函-3'!D4</f>
        <v>15523</v>
      </c>
    </row>
    <row r="48" spans="1:2" s="1202" customFormat="1">
      <c r="A48" s="1200" t="s">
        <v>549</v>
      </c>
      <c r="B48" s="1201">
        <f ca="1">'预评函-3'!E4</f>
        <v>13513</v>
      </c>
    </row>
    <row r="49" spans="1:2" s="1202" customFormat="1">
      <c r="A49" s="1200" t="s">
        <v>550</v>
      </c>
      <c r="B49" s="1201" t="str">
        <f ca="1">'预评函-3'!D5</f>
        <v>壹亿伍仟伍佰贰拾叁万元整</v>
      </c>
    </row>
    <row r="50" spans="1:2" s="1202" customFormat="1">
      <c r="A50" s="1200" t="s">
        <v>574</v>
      </c>
      <c r="B50" s="1201" t="str">
        <f>'预评函-3'!F2</f>
        <v>建筑物价值</v>
      </c>
    </row>
    <row r="51" spans="1:2" s="1202" customFormat="1">
      <c r="A51" s="1200" t="s">
        <v>551</v>
      </c>
      <c r="B51" s="1201">
        <f ca="1">'预评函-3'!F4</f>
        <v>12197</v>
      </c>
    </row>
    <row r="52" spans="1:2" s="1202" customFormat="1">
      <c r="A52" s="1200" t="s">
        <v>552</v>
      </c>
      <c r="B52" s="1201">
        <f ca="1">'预评函-3'!G4</f>
        <v>10617</v>
      </c>
    </row>
    <row r="53" spans="1:2" s="1202" customFormat="1">
      <c r="A53" s="1200" t="s">
        <v>580</v>
      </c>
      <c r="B53" s="1201" t="str">
        <f ca="1">'预评函-3'!F5</f>
        <v>壹亿贰仟壹佰玖拾柒万元整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5" sqref="L3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3660</v>
      </c>
      <c r="C5" s="1546" t="s">
        <v>318</v>
      </c>
      <c r="F5" s="1547" t="s">
        <v>1015</v>
      </c>
      <c r="G5" s="1547">
        <v>70</v>
      </c>
      <c r="H5" s="1547" t="s">
        <v>1016</v>
      </c>
      <c r="I5" s="1547" t="s">
        <v>3340</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3341</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3342</v>
      </c>
    </row>
    <row r="8" spans="1:23">
      <c r="A8" s="1545" t="s">
        <v>1025</v>
      </c>
      <c r="B8" s="1545" t="s">
        <v>1026</v>
      </c>
      <c r="C8" s="1546" t="s">
        <v>319</v>
      </c>
      <c r="F8" s="1547" t="s">
        <v>1027</v>
      </c>
      <c r="H8" s="1547" t="s">
        <v>2578</v>
      </c>
      <c r="I8" s="1547" t="s">
        <v>3343</v>
      </c>
    </row>
    <row r="9" spans="1:23">
      <c r="A9" s="1545" t="s">
        <v>1028</v>
      </c>
      <c r="B9" s="1545" t="s">
        <v>1029</v>
      </c>
      <c r="C9" s="1546" t="s">
        <v>320</v>
      </c>
      <c r="F9" s="1547" t="s">
        <v>1030</v>
      </c>
      <c r="H9" s="1547"/>
      <c r="I9" s="1550" t="s">
        <v>3344</v>
      </c>
    </row>
    <row r="10" spans="1:23">
      <c r="A10" s="1545" t="s">
        <v>1031</v>
      </c>
      <c r="B10" s="1548" t="s">
        <v>3663</v>
      </c>
      <c r="C10" s="1546" t="s">
        <v>321</v>
      </c>
      <c r="F10" s="1547" t="s">
        <v>2579</v>
      </c>
      <c r="I10" s="1550" t="s">
        <v>3345</v>
      </c>
    </row>
    <row r="11" spans="1:23">
      <c r="A11" s="1545" t="s">
        <v>1032</v>
      </c>
      <c r="B11" s="1545" t="s">
        <v>1033</v>
      </c>
      <c r="C11" s="1546" t="s">
        <v>322</v>
      </c>
      <c r="F11" s="1547" t="s">
        <v>13</v>
      </c>
      <c r="I11" s="1550" t="s">
        <v>3346</v>
      </c>
    </row>
    <row r="12" spans="1:23">
      <c r="A12" s="1545" t="s">
        <v>1034</v>
      </c>
      <c r="B12" s="1545" t="s">
        <v>1035</v>
      </c>
      <c r="C12" s="1546" t="s">
        <v>323</v>
      </c>
      <c r="I12" s="1550" t="s">
        <v>3347</v>
      </c>
    </row>
    <row r="13" spans="1:23">
      <c r="A13" s="1545" t="s">
        <v>1036</v>
      </c>
      <c r="B13" s="1545" t="s">
        <v>1037</v>
      </c>
      <c r="C13" s="1546" t="s">
        <v>324</v>
      </c>
      <c r="I13" s="1550" t="s">
        <v>3348</v>
      </c>
    </row>
    <row r="14" spans="1:23">
      <c r="A14" s="1545" t="s">
        <v>1038</v>
      </c>
      <c r="B14" s="1545" t="s">
        <v>1039</v>
      </c>
      <c r="C14" s="1547" t="s">
        <v>13</v>
      </c>
      <c r="I14" s="1550" t="s">
        <v>3349</v>
      </c>
    </row>
    <row r="15" spans="1:23">
      <c r="A15" s="1545" t="s">
        <v>1040</v>
      </c>
      <c r="B15" s="1545" t="s">
        <v>1041</v>
      </c>
      <c r="C15" s="1546"/>
      <c r="I15" s="1550" t="s">
        <v>3350</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8" t="s">
        <v>3662</v>
      </c>
      <c r="C19" s="1546"/>
    </row>
    <row r="20" spans="1:3">
      <c r="A20" s="1545" t="s">
        <v>1046</v>
      </c>
      <c r="B20" s="1548" t="s">
        <v>3664</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3" t="s">
        <v>385</v>
      </c>
      <c r="C54" s="1550" t="s">
        <v>583</v>
      </c>
    </row>
    <row r="55" spans="1:4">
      <c r="A55" s="3557"/>
      <c r="B55" s="1553" t="s">
        <v>386</v>
      </c>
      <c r="C55" s="1550" t="s">
        <v>584</v>
      </c>
    </row>
    <row r="56" spans="1:4">
      <c r="A56" s="3557"/>
      <c r="B56" s="1553" t="s">
        <v>387</v>
      </c>
      <c r="C56" s="1550" t="s">
        <v>588</v>
      </c>
    </row>
    <row r="57" spans="1:4">
      <c r="A57" s="355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58" t="s">
        <v>2581</v>
      </c>
      <c r="J2" s="3558"/>
      <c r="K2" s="3558"/>
      <c r="L2" s="3558"/>
      <c r="M2" s="3558"/>
      <c r="N2" s="3558"/>
      <c r="O2" s="3558"/>
      <c r="P2" s="3558"/>
      <c r="Q2" s="3558"/>
      <c r="R2" s="3558"/>
    </row>
    <row r="3" spans="1:18">
      <c r="A3" s="3018" t="s">
        <v>2502</v>
      </c>
      <c r="B3" s="3019">
        <f>项目基本情况!D3</f>
        <v>45372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6" sqref="E4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67" t="str">
        <f>IF(B10="北京市","北京市",C10)&amp;F10&amp;IF(结果表12号楼!G1="在建","出让国有建设用地使用权及在建建筑物",IF(结果表12号楼!G1="土地","出让国有建设用地使用权",))&amp;B9&amp;"预评估"</f>
        <v>北京市房地产抵押价值预评估</v>
      </c>
      <c r="C1" s="3568"/>
      <c r="D1" s="3568"/>
      <c r="E1" s="3568"/>
      <c r="F1" s="3568"/>
      <c r="G1" s="3568"/>
      <c r="H1" s="3568"/>
      <c r="I1" s="3569"/>
      <c r="J1" s="2470"/>
      <c r="K1" s="2367"/>
      <c r="L1" s="2368"/>
      <c r="M1" s="2368"/>
      <c r="N1" s="2369"/>
      <c r="O1" s="1575"/>
      <c r="P1" s="2369"/>
      <c r="Q1" s="2369"/>
      <c r="R1" s="2369"/>
      <c r="S1" s="1681" t="str">
        <f>IF(B10="北京市","北京市",C10)&amp;F10&amp;IF(结果表12号楼!G1="在建","出让国有建设用地使用权及在建建筑物房地产抵押价值",IF(结果表12号楼!G1="土地","出让国有建设用地使用权抵押价值",B9))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IF(B10="北京市","北京市",C10)&amp;F10&amp;IF(结果表12号楼!G1="在建","出让国有建设用地使用权及在建建筑物房地产",IF(结果表12号楼!G1="土地","出让国有建设用地使用权","房地产"))</f>
        <v>北京市房地产</v>
      </c>
      <c r="T2" s="1744"/>
      <c r="U2" s="1744"/>
      <c r="V2" s="1744"/>
      <c r="W2" s="1744"/>
      <c r="X2" s="1744"/>
      <c r="Y2" s="1744"/>
      <c r="Z2" s="1744"/>
      <c r="AA2" s="1744"/>
      <c r="AB2" s="1744"/>
    </row>
    <row r="3" spans="1:30">
      <c r="A3" s="302" t="s">
        <v>2167</v>
      </c>
      <c r="B3" s="2372">
        <v>45372</v>
      </c>
      <c r="C3" s="2373" t="s">
        <v>2168</v>
      </c>
      <c r="D3" s="2372">
        <f>B3</f>
        <v>45372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2169</v>
      </c>
      <c r="B4" s="2374" t="s">
        <v>3703</v>
      </c>
      <c r="C4" s="2375">
        <f ca="1">SUMIF(注册房地产估价师,B4,估价师及机构信息!B3:B24)</f>
        <v>1120070131</v>
      </c>
      <c r="D4" s="2374" t="s">
        <v>3704</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3376</v>
      </c>
      <c r="C8" s="2389"/>
      <c r="D8" s="3570" t="s">
        <v>2174</v>
      </c>
      <c r="E8" s="2390" t="s">
        <v>3380</v>
      </c>
      <c r="F8" s="2391"/>
      <c r="G8" s="2662"/>
      <c r="H8" s="2662"/>
      <c r="I8" s="2662"/>
      <c r="J8" s="2438"/>
      <c r="K8" s="2613"/>
      <c r="L8" s="2612"/>
      <c r="M8" s="2612"/>
      <c r="N8" s="2438"/>
      <c r="O8" s="2449"/>
      <c r="P8" s="2438"/>
      <c r="Q8" s="2438"/>
      <c r="R8" s="2438"/>
    </row>
    <row r="9" spans="1:30" ht="13.5" thickBot="1">
      <c r="A9" s="2392" t="s">
        <v>2175</v>
      </c>
      <c r="B9" s="2393" t="s">
        <v>3380</v>
      </c>
      <c r="C9" s="2394"/>
      <c r="D9" s="3571"/>
      <c r="E9" s="2393" t="s">
        <v>587</v>
      </c>
      <c r="F9" s="2395"/>
      <c r="G9" s="2664"/>
      <c r="H9" s="2664"/>
      <c r="I9" s="2664"/>
      <c r="J9" s="2438"/>
      <c r="K9" s="2615"/>
      <c r="L9" s="2612"/>
      <c r="M9" s="2612"/>
      <c r="N9" s="2438"/>
      <c r="O9" s="2449"/>
      <c r="P9" s="2438"/>
      <c r="Q9" s="2438"/>
      <c r="R9" s="2438"/>
    </row>
    <row r="10" spans="1:30" ht="13.5" thickTop="1">
      <c r="A10" s="2396" t="s">
        <v>2176</v>
      </c>
      <c r="B10" s="2397" t="s">
        <v>3381</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3382</v>
      </c>
      <c r="C11" s="2402"/>
      <c r="D11" s="2403"/>
      <c r="E11" s="2369"/>
      <c r="F11" s="2369"/>
      <c r="G11" s="2369"/>
      <c r="H11" s="2369"/>
      <c r="I11" s="2369"/>
      <c r="J11" s="3059"/>
      <c r="K11" s="3058"/>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7" t="s">
        <v>2577</v>
      </c>
      <c r="J12" s="3060"/>
      <c r="K12" s="2612"/>
      <c r="L12" s="2612"/>
      <c r="M12" s="2438"/>
      <c r="N12" s="2449"/>
      <c r="O12" s="2438"/>
      <c r="P12" s="2438"/>
      <c r="Q12" s="2438"/>
      <c r="AD12" s="1744"/>
    </row>
    <row r="13" spans="1:30">
      <c r="A13" s="3421" t="s">
        <v>3332</v>
      </c>
      <c r="B13" s="2406" t="s">
        <v>2187</v>
      </c>
      <c r="C13" s="856"/>
      <c r="D13" s="856"/>
      <c r="E13" s="856"/>
      <c r="F13" s="856"/>
      <c r="G13" s="856">
        <f>租赁情况!B10</f>
        <v>46918</v>
      </c>
      <c r="H13" s="856">
        <f>租赁情况!B11</f>
        <v>46752</v>
      </c>
      <c r="I13" s="856">
        <v>55121</v>
      </c>
      <c r="J13" s="3060"/>
      <c r="K13" s="2612"/>
      <c r="L13" s="2612"/>
      <c r="M13" s="2438"/>
      <c r="N13" s="2449"/>
      <c r="O13" s="2438"/>
      <c r="P13" s="2438"/>
      <c r="Q13" s="2438"/>
      <c r="AD13" s="1744"/>
    </row>
    <row r="14" spans="1:30">
      <c r="A14" s="1081"/>
      <c r="B14" s="2406" t="s">
        <v>2188</v>
      </c>
      <c r="C14" s="2407"/>
      <c r="D14" s="2407"/>
      <c r="E14" s="2407"/>
      <c r="F14" s="2407"/>
      <c r="G14" s="2407">
        <v>50</v>
      </c>
      <c r="H14" s="2407">
        <v>50</v>
      </c>
      <c r="I14" s="2407">
        <v>50</v>
      </c>
      <c r="J14" s="3061"/>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4.2300000000000004</v>
      </c>
      <c r="H15" s="2409">
        <f>IF(A13="出让",IF(H13="","",ROUNDDOWN(MIN((H13-$D$3)/365,H14),2)),H14)</f>
        <v>3.78</v>
      </c>
      <c r="I15" s="2409">
        <f>IF(A13="出让",IF(I13="","",ROUNDDOWN(MIN((I13-$D$3)/365,I14),2)),I14)</f>
        <v>26.7</v>
      </c>
      <c r="J15" s="3062"/>
      <c r="K15" s="2450"/>
      <c r="L15" s="2450"/>
      <c r="M15" s="2508"/>
      <c r="N15" s="2450"/>
      <c r="O15" s="2508"/>
      <c r="P15" s="2438"/>
      <c r="Q15" s="2438"/>
      <c r="AD15" s="1744"/>
    </row>
    <row r="16" spans="1:30">
      <c r="A16" s="2399" t="s">
        <v>2190</v>
      </c>
      <c r="B16" s="3577"/>
      <c r="C16" s="3578"/>
      <c r="D16" s="3579"/>
      <c r="E16" s="2412" t="s">
        <v>2191</v>
      </c>
      <c r="F16" s="3580"/>
      <c r="G16" s="3581"/>
      <c r="H16" s="3581"/>
      <c r="I16" s="3582"/>
      <c r="J16" s="2438"/>
      <c r="K16" s="2616"/>
      <c r="L16" s="2450"/>
      <c r="M16" s="2450"/>
      <c r="N16" s="2508"/>
      <c r="O16" s="2450"/>
      <c r="P16" s="2508"/>
      <c r="Q16" s="2438"/>
      <c r="R16" s="2438"/>
    </row>
    <row r="17" spans="1:28">
      <c r="A17" s="313" t="s">
        <v>2192</v>
      </c>
      <c r="B17" s="302" t="s">
        <v>2193</v>
      </c>
      <c r="C17" s="8">
        <f>'数据-汇总表'!E3</f>
        <v>36780.86</v>
      </c>
      <c r="D17" s="2321" t="s">
        <v>2194</v>
      </c>
      <c r="E17" s="3583" t="s">
        <v>2195</v>
      </c>
      <c r="F17" s="3584"/>
      <c r="G17" s="3584"/>
      <c r="H17" s="3584"/>
      <c r="I17" s="3585"/>
      <c r="J17" s="2438"/>
      <c r="K17" s="2617"/>
      <c r="L17" s="2450"/>
      <c r="M17" s="2450"/>
      <c r="N17" s="2508"/>
      <c r="O17" s="2450"/>
      <c r="P17" s="2508"/>
      <c r="Q17" s="2438"/>
      <c r="R17" s="2438"/>
      <c r="S17" s="2438"/>
      <c r="T17" s="2438"/>
      <c r="U17" s="2438"/>
      <c r="V17" s="2438"/>
    </row>
    <row r="18" spans="1:28" ht="24.75" thickBot="1">
      <c r="A18" s="2413" t="s">
        <v>2196</v>
      </c>
      <c r="B18" s="1090" t="s">
        <v>2197</v>
      </c>
      <c r="C18" s="2414">
        <f>'数据-汇总表'!D3</f>
        <v>17362.38</v>
      </c>
      <c r="D18" s="1092" t="s">
        <v>2198</v>
      </c>
      <c r="E18" s="3586" t="s">
        <v>2199</v>
      </c>
      <c r="F18" s="3587"/>
      <c r="G18" s="3587"/>
      <c r="H18" s="3587"/>
      <c r="I18" s="3588"/>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73" t="s">
        <v>2203</v>
      </c>
      <c r="C20" s="3574"/>
      <c r="D20" s="3575" t="s">
        <v>2204</v>
      </c>
      <c r="E20" s="3576"/>
      <c r="F20" s="2646" t="s">
        <v>1054</v>
      </c>
      <c r="G20" s="2663"/>
      <c r="H20" s="2663"/>
      <c r="I20" s="2663"/>
      <c r="J20" s="2438"/>
      <c r="K20" s="3572"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7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72"/>
      <c r="L22" s="684" t="str">
        <f>IF(E19="否","",IF(结果表12号楼!D36="同一抵押权人同一抵押物续贷","由于本次评估为同一抵押权人的续贷房地产抵押估价，故未将已抵押担保的债权数额（"&amp;C26&amp;"）作为法定优先受偿款予以扣减。",IF(结果表12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0"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0"/>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0"/>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1"/>
      <c r="B30" s="302" t="s">
        <v>2215</v>
      </c>
      <c r="C30" s="3562"/>
      <c r="D30" s="3563"/>
      <c r="E30" s="2663"/>
      <c r="F30" s="2663"/>
      <c r="G30" s="2663"/>
      <c r="H30" s="2663"/>
      <c r="I30" s="2663"/>
      <c r="J30" s="2438"/>
      <c r="K30" s="2615"/>
      <c r="L30" s="2612"/>
      <c r="M30" s="2612"/>
      <c r="N30" s="2438"/>
      <c r="O30" s="2449"/>
      <c r="P30" s="2438"/>
      <c r="Q30" s="2438"/>
      <c r="R30" s="2438"/>
      <c r="S30" s="2438"/>
      <c r="T30" s="2438"/>
      <c r="U30" s="2438"/>
      <c r="V30" s="2438"/>
    </row>
    <row r="31" spans="1:28">
      <c r="A31" s="3564" t="s">
        <v>2216</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59" t="s">
        <v>2225</v>
      </c>
      <c r="T34" s="2427" t="str">
        <f>NUMBERSTRING(7-K34,1)&amp;"通"</f>
        <v>七通</v>
      </c>
      <c r="U34" s="2438"/>
      <c r="V34" s="2438"/>
    </row>
    <row r="35" spans="1:30">
      <c r="A35" s="2428"/>
      <c r="B35" s="3566" t="s">
        <v>2226</v>
      </c>
      <c r="C35" s="3566"/>
      <c r="D35" s="3566"/>
      <c r="E35" s="356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t="s">
        <v>306</v>
      </c>
      <c r="D37" s="2430" t="s">
        <v>306</v>
      </c>
      <c r="E37" s="2430" t="s">
        <v>306</v>
      </c>
      <c r="F37" s="2430" t="s">
        <v>306</v>
      </c>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2963</v>
      </c>
      <c r="C38" s="2431" t="s">
        <v>2963</v>
      </c>
      <c r="D38" s="2431" t="s">
        <v>2963</v>
      </c>
      <c r="E38" s="2431" t="s">
        <v>3383</v>
      </c>
      <c r="F38" s="2431" t="s">
        <v>2963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17362.38</v>
      </c>
      <c r="B3" s="11">
        <f>IF(C3="否",G5-AT5,G5)</f>
        <v>36780.86</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3388</v>
      </c>
      <c r="J9" s="809"/>
      <c r="K9" s="1602" t="s">
        <v>3389</v>
      </c>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7" t="s">
        <v>3384</v>
      </c>
      <c r="D13" s="1624" t="s">
        <v>3385</v>
      </c>
      <c r="E13" s="13">
        <f>IF($C$3="是",ROUND($A$3*G13/$B$3,2),ROUND($A$3*(G13-AT13)/$B$3,2))</f>
        <v>5422.86</v>
      </c>
      <c r="F13" s="29"/>
      <c r="G13" s="30">
        <f>H13+AC13+AT13</f>
        <v>11487.92</v>
      </c>
      <c r="H13" s="17">
        <f>SUMIF(I$12:AB$12,"总值",I13:AB13)</f>
        <v>11487.92</v>
      </c>
      <c r="I13" s="1625">
        <v>11487.92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v>
      </c>
      <c r="AY13" s="134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47" t="s">
        <v>3386</v>
      </c>
      <c r="D14" s="1624" t="s">
        <v>3385</v>
      </c>
      <c r="E14" s="13">
        <f>IF($C$3="是",ROUND($A$3*G14/$B$3,2),ROUND($A$3*(G14-AT14)/$B$3,2))</f>
        <v>11939.52</v>
      </c>
      <c r="F14" s="29"/>
      <c r="G14" s="30">
        <f>H14+AC14+AT14</f>
        <v>25292.940000000002</v>
      </c>
      <c r="H14" s="17">
        <f>SUMIF(I$12:AB$12,"总值",I14:AB14)</f>
        <v>25292.940000000002</v>
      </c>
      <c r="I14" s="1625">
        <f>25292.94-K14</f>
        <v>18756.07</v>
      </c>
      <c r="J14" s="1625"/>
      <c r="K14" s="3507">
        <f>12126.54-5589.67</f>
        <v>6536.8700000000008</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13号楼</v>
      </c>
      <c r="AY14" s="134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8"/>
      <c r="C15" s="3447"/>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8"/>
      <c r="C16" s="3447"/>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64" sqref="G6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98" t="s">
        <v>1129</v>
      </c>
      <c r="B2" s="3598"/>
      <c r="C2" s="3598"/>
      <c r="D2" s="796" t="s">
        <v>1105</v>
      </c>
      <c r="E2" s="1638" t="s">
        <v>1106</v>
      </c>
      <c r="F2" s="2658"/>
      <c r="G2" s="2649"/>
      <c r="H2" s="2650"/>
      <c r="I2" s="2324" t="s">
        <v>1130</v>
      </c>
      <c r="J2" s="2658"/>
      <c r="K2" s="2658"/>
      <c r="L2" s="2658"/>
      <c r="M2" s="2658"/>
      <c r="N2" s="2660"/>
      <c r="O2" s="2658"/>
      <c r="P2" s="2658"/>
    </row>
    <row r="3" spans="1:16" ht="15.75" thickBot="1">
      <c r="A3" s="3599" t="s">
        <v>1103</v>
      </c>
      <c r="B3" s="3599"/>
      <c r="C3" s="3599"/>
      <c r="D3" s="43">
        <f>'数据-基础表'!AY6</f>
        <v>17362.38</v>
      </c>
      <c r="E3" s="43">
        <f>'数据-基础表'!AZ5</f>
        <v>36780.86</v>
      </c>
      <c r="F3" s="2658"/>
      <c r="G3" s="1145"/>
      <c r="H3" s="1026" t="s">
        <v>1104</v>
      </c>
      <c r="I3" s="855">
        <f>ROUND('数据-基础表'!B3/'数据-基础表'!A3,2)</f>
        <v>2.12</v>
      </c>
      <c r="J3" s="2658"/>
      <c r="K3" s="2658"/>
      <c r="L3" s="2658"/>
      <c r="M3" s="2658"/>
      <c r="N3" s="2660"/>
      <c r="O3" s="2658"/>
      <c r="P3" s="2658"/>
    </row>
    <row r="4" spans="1:16" ht="15">
      <c r="A4" s="3600"/>
      <c r="B4" s="3601"/>
      <c r="C4" s="3602"/>
      <c r="D4" s="1640" t="s">
        <v>1105</v>
      </c>
      <c r="E4" s="1641" t="s">
        <v>1106</v>
      </c>
      <c r="F4" s="2658"/>
      <c r="G4" s="2651" t="s">
        <v>1131</v>
      </c>
      <c r="H4" s="1026" t="s">
        <v>1111</v>
      </c>
      <c r="I4" s="855">
        <f>ROUND(SUMIF('数据-基础表'!I9:AS9,"地上",'数据-基础表'!I5:AS5)/'数据-基础表'!A3,2)</f>
        <v>1.74</v>
      </c>
      <c r="J4" s="2658"/>
      <c r="K4" s="2658"/>
      <c r="L4" s="2658"/>
      <c r="M4" s="2658"/>
      <c r="N4" s="2660"/>
      <c r="O4" s="2658"/>
      <c r="P4" s="2658"/>
    </row>
    <row r="5" spans="1:16">
      <c r="A5" s="44" t="s">
        <v>1107</v>
      </c>
      <c r="B5" s="3603" t="s">
        <v>1108</v>
      </c>
      <c r="C5" s="3603"/>
      <c r="D5" s="45">
        <f>ROUND($D$3*E5/$E$3,2)</f>
        <v>0</v>
      </c>
      <c r="E5" s="46">
        <f>SUMIF('数据-基础表'!$11:$11,"住宅",'数据-基础表'!$5:$5)</f>
        <v>0</v>
      </c>
      <c r="F5" s="2658"/>
      <c r="G5" s="1145"/>
      <c r="H5" s="1026" t="s">
        <v>1104</v>
      </c>
      <c r="I5" s="855">
        <f>ROUND(E31/D31,2)</f>
        <v>2.12</v>
      </c>
      <c r="J5" s="2658"/>
      <c r="K5" s="2658"/>
      <c r="L5" s="2658"/>
      <c r="M5" s="2658"/>
      <c r="N5" s="2658"/>
      <c r="O5" s="2658"/>
      <c r="P5" s="2658"/>
    </row>
    <row r="6" spans="1:16" ht="15" thickBot="1">
      <c r="A6" s="1643"/>
      <c r="B6" s="3603" t="s">
        <v>1109</v>
      </c>
      <c r="C6" s="3603"/>
      <c r="D6" s="45">
        <f>ROUND($D$3*E6/$E$3,2)</f>
        <v>17362.38</v>
      </c>
      <c r="E6" s="46">
        <f>E3-E5</f>
        <v>36780.86</v>
      </c>
      <c r="F6" s="2658"/>
      <c r="G6" s="2652" t="s">
        <v>1110</v>
      </c>
      <c r="H6" s="1146" t="s">
        <v>1111</v>
      </c>
      <c r="I6" s="2653">
        <f>ROUND(F31/D31,2)</f>
        <v>1.74</v>
      </c>
      <c r="J6" s="2658"/>
      <c r="K6" s="2658"/>
      <c r="L6" s="2658"/>
      <c r="M6" s="2658"/>
      <c r="N6" s="2658"/>
      <c r="O6" s="2658"/>
      <c r="P6" s="2658"/>
    </row>
    <row r="7" spans="1:16" ht="15.75" thickBot="1">
      <c r="A7" s="3595"/>
      <c r="B7" s="3596"/>
      <c r="C7" s="3597"/>
      <c r="D7" s="1640" t="s">
        <v>1105</v>
      </c>
      <c r="E7" s="1644" t="s">
        <v>1112</v>
      </c>
      <c r="F7" s="2658"/>
      <c r="G7" s="2654" t="s">
        <v>1113</v>
      </c>
      <c r="H7" s="2655"/>
      <c r="I7" s="2656"/>
      <c r="J7" s="2658"/>
      <c r="K7" s="2658"/>
      <c r="L7" s="2658"/>
      <c r="M7" s="2658"/>
      <c r="N7" s="2658"/>
      <c r="O7" s="2658"/>
      <c r="P7" s="2658"/>
    </row>
    <row r="8" spans="1:16">
      <c r="A8" s="44" t="s">
        <v>1114</v>
      </c>
      <c r="B8" s="47" t="s">
        <v>1115</v>
      </c>
      <c r="C8" s="45" t="s">
        <v>1116</v>
      </c>
      <c r="D8" s="45">
        <f t="shared" ref="D8:D15" si="0">ROUND($D$3*E8/$E$3,2)</f>
        <v>14276.65</v>
      </c>
      <c r="E8" s="48">
        <f>SUMIF('数据-基础表'!BB10:BK10,"地上",'数据-基础表'!BB5:BK5)</f>
        <v>30243.989999999998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14276.65</v>
      </c>
      <c r="E16" s="50">
        <f>SUM(E8:E15)</f>
        <v>30243.989999999998</v>
      </c>
      <c r="F16" s="2658"/>
      <c r="G16" s="2659"/>
      <c r="H16" s="1647" t="s">
        <v>1133</v>
      </c>
      <c r="I16" s="1648"/>
      <c r="J16" s="1139"/>
      <c r="K16" s="3592" t="s">
        <v>1133</v>
      </c>
      <c r="L16" s="3593"/>
      <c r="M16" s="3593"/>
      <c r="N16" s="3593"/>
      <c r="O16" s="3593"/>
      <c r="P16" s="3594"/>
    </row>
    <row r="17" spans="1:19" ht="15">
      <c r="A17" s="1649" t="s">
        <v>1134</v>
      </c>
      <c r="B17" s="1650" t="s">
        <v>1135</v>
      </c>
      <c r="C17" s="1651" t="s">
        <v>1136</v>
      </c>
      <c r="D17" s="1652" t="s">
        <v>1124</v>
      </c>
      <c r="E17" s="1653" t="s">
        <v>1125</v>
      </c>
      <c r="F17" s="1654"/>
      <c r="G17" s="1655"/>
      <c r="H17" s="1656" t="s">
        <v>1137</v>
      </c>
      <c r="I17" s="1657" t="s">
        <v>1122</v>
      </c>
      <c r="J17" s="1139"/>
      <c r="K17" s="3589" t="s">
        <v>1138</v>
      </c>
      <c r="L17" s="3590"/>
      <c r="M17" s="3591"/>
      <c r="N17" s="3589" t="s">
        <v>1139</v>
      </c>
      <c r="O17" s="3590"/>
      <c r="P17" s="3591"/>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5" t="s">
        <v>3646</v>
      </c>
      <c r="D19" s="45">
        <f>ROUND($D$3*E19/$E$3,2)</f>
        <v>5422.86</v>
      </c>
      <c r="E19" s="53">
        <f t="shared" ref="E19:E26" si="1">SUM(F19:G19)</f>
        <v>11487.92</v>
      </c>
      <c r="F19" s="2793">
        <f>'数据-基础表'!I13</f>
        <v>11487.92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5422.86</v>
      </c>
      <c r="S19" s="1027">
        <f t="shared" si="5"/>
        <v>11487.92</v>
      </c>
    </row>
    <row r="20" spans="1:19">
      <c r="A20" s="1669"/>
      <c r="B20" s="47" t="s">
        <v>1151</v>
      </c>
      <c r="C20" s="3415" t="s">
        <v>3647</v>
      </c>
      <c r="D20" s="45">
        <f t="shared" ref="D20:D26" si="6">ROUND($D$3*E20/$E$3,2)</f>
        <v>11939.52</v>
      </c>
      <c r="E20" s="53">
        <f t="shared" si="1"/>
        <v>25292.940000000002</v>
      </c>
      <c r="F20" s="2793">
        <f>'数据-基础表'!I14</f>
        <v>18756.07</v>
      </c>
      <c r="G20" s="2794">
        <f>'数据-基础表'!K14</f>
        <v>6536.8700000000008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11939.52</v>
      </c>
      <c r="S20" s="1027">
        <f t="shared" si="5"/>
        <v>25292.940000000002</v>
      </c>
    </row>
    <row r="21" spans="1:19">
      <c r="A21" s="1669"/>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17362.38</v>
      </c>
      <c r="E27" s="1141">
        <f>IF(SUM(E19:E26)='数据-基础表'!BA5,SUM(E19:E26),IF(F27="地上面积有误","面积有误","地下面积有误"))</f>
        <v>36780.86</v>
      </c>
      <c r="F27" s="1140">
        <f>IF(SUM(F19:F26)=E8,SUM(F19:F26),"地上面积有误")</f>
        <v>30243.989999999998</v>
      </c>
      <c r="G27" s="1142">
        <f>SUM(G19:G26)</f>
        <v>6536.8700000000008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17362.38</v>
      </c>
      <c r="S27" s="1026">
        <f>IF(SUM(S19:S26)=$E$3,SUM(S19:S26),SUM(S19:S26)&amp;"误差"&amp;ROUND(SUM(S19:S26)-E3,2))</f>
        <v>36780.86</v>
      </c>
    </row>
    <row r="28" spans="1:19">
      <c r="A28" s="1669"/>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1156</v>
      </c>
      <c r="D31" s="676">
        <f>D27+D30</f>
        <v>17362.38</v>
      </c>
      <c r="E31" s="676">
        <f>E27+E30</f>
        <v>36780.86</v>
      </c>
      <c r="F31" s="677">
        <f>F27+F30</f>
        <v>30243.989999999998</v>
      </c>
      <c r="G31" s="678">
        <f>G27+G30</f>
        <v>6536.8700000000008</v>
      </c>
      <c r="H31" s="2658"/>
      <c r="I31" s="2658"/>
      <c r="J31" s="2658"/>
      <c r="K31" s="2658"/>
      <c r="L31" s="2658"/>
      <c r="M31" s="2658"/>
      <c r="N31" s="2658"/>
      <c r="O31" s="2658"/>
      <c r="P31" s="2658"/>
    </row>
    <row r="32" spans="1:19">
      <c r="A32" s="1642"/>
      <c r="B32" s="1642" t="s">
        <v>1157</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31" sqref="W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8.625" style="1681" customWidth="1"/>
    <col min="22" max="22" width="7.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5">
        <f>项目基本情况!D3</f>
        <v>45372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3392</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v>
      </c>
      <c r="B6" s="1712" t="str">
        <f>IF(A6=0,"","经营性")</f>
        <v>经营性</v>
      </c>
      <c r="C6" s="1713" t="s">
        <v>3391</v>
      </c>
      <c r="D6" s="858">
        <f>SUMIF(项目基本情况!C$12:I$12,C6,项目基本情况!C$14:I$14)</f>
        <v>50</v>
      </c>
      <c r="E6" s="857">
        <f>IF(B6="","",SUMIF(项目基本情况!C$12:I$12,C6,项目基本情况!C$13:I$13))</f>
        <v>55121</v>
      </c>
      <c r="F6" s="64">
        <f>SUMIF(项目基本情况!C$12:I$12,C6,项目基本情况!C$15:I$15)</f>
        <v>26.7</v>
      </c>
      <c r="G6" s="65">
        <f>IF(ISERROR(ROUND(POWER(1+H6,D6-F6)*(POWER(1+H6,F6)-1)/(POWER(1+H6,D6)-1),3)),0,ROUND(POWER(1+H6,D6-F6)*(POWER(1+H6,F6)-1)/(POWER(1+H6,D6)-1),3))</f>
        <v>0.79800000000000004</v>
      </c>
      <c r="H6" s="732">
        <v>0.05</v>
      </c>
      <c r="I6" s="732">
        <v>5.5E-2</v>
      </c>
      <c r="J6" s="66">
        <v>7.0000000000000007E-2</v>
      </c>
      <c r="K6" s="1030">
        <f>SUMIF('数据-汇总表'!C$19:C$33,A6,'数据-汇总表'!E$19:E$33)</f>
        <v>11487.92</v>
      </c>
      <c r="L6" s="3463">
        <v>6000</v>
      </c>
      <c r="M6" s="67">
        <f t="shared" ref="M6:M14" si="0">ROUND(K6*L6/10000,0)</f>
        <v>6893</v>
      </c>
      <c r="N6" s="731">
        <f>N18</f>
        <v>0.85</v>
      </c>
      <c r="O6" s="67" t="str">
        <f>IF($N$5="成新度","——",ROUND(M6*N6,0))</f>
        <v>——</v>
      </c>
      <c r="P6" s="68" t="str">
        <f>IF($N$5="成新度","——",M6-O6)</f>
        <v>——</v>
      </c>
      <c r="Q6" s="734">
        <v>0.15</v>
      </c>
      <c r="R6" s="69">
        <f ca="1">SUMIF('数据-汇总表'!C$19:C$33,A6,'数据-汇总表'!R$19:R$27)</f>
        <v>5422.86</v>
      </c>
      <c r="S6" s="51">
        <f>IF('数据-汇总表'!$I$17="按面积比例",SUMIF('数据-汇总表'!C$19:C$33,A6,'数据-汇总表'!K$19:K$33),SUMIF('数据-汇总表'!C$19:C$33,A6,'数据-汇总表'!N$19:N$33))</f>
        <v>0</v>
      </c>
      <c r="T6" s="1172">
        <f>ROUND($L$14*S6/10000,0)</f>
        <v>0</v>
      </c>
      <c r="U6" s="3426">
        <f>租赁情况!G10</f>
        <v>4.04</v>
      </c>
      <c r="V6" s="70">
        <v>0</v>
      </c>
      <c r="W6" s="70">
        <v>0</v>
      </c>
      <c r="X6" s="1040"/>
      <c r="Y6" s="71">
        <f>N6</f>
        <v>0.85</v>
      </c>
      <c r="Z6" s="3516">
        <f>ROUND(X18*(1+3%)^AF6,2)</f>
        <v>4.42</v>
      </c>
      <c r="AA6" s="66">
        <v>2.5000000000000001E-2</v>
      </c>
      <c r="AB6" s="66">
        <v>0.05</v>
      </c>
      <c r="AC6" s="1040"/>
      <c r="AD6" s="73">
        <f>租赁情况!H10</f>
        <v>0.78</v>
      </c>
      <c r="AE6" s="1041">
        <f ca="1">IF(AN6="",0,SUMIF(INDIRECT("'"&amp;AN6&amp;"'"&amp;"!E:E"),$AE$5,INDIRECT("'"&amp;AN6&amp;"'"&amp;"!F:F")))</f>
        <v>26.7</v>
      </c>
      <c r="AF6" s="1347">
        <f>租赁情况!D10</f>
        <v>4.2300000000000004</v>
      </c>
      <c r="AG6" s="138">
        <f ca="1">IF(AF6="",0,AE6-AF6)</f>
        <v>22.47</v>
      </c>
      <c r="AH6" s="74"/>
      <c r="AI6" s="76">
        <v>365</v>
      </c>
      <c r="AJ6" s="77"/>
      <c r="AK6" s="78">
        <v>5.0000000000000001E-3</v>
      </c>
      <c r="AL6" s="79">
        <v>1E-3</v>
      </c>
      <c r="AM6" s="80">
        <v>5.0000000000000001E-3</v>
      </c>
      <c r="AN6" s="1714" t="s">
        <v>3659</v>
      </c>
      <c r="AO6" s="52">
        <f ca="1">SUMIF(INDIRECT("'"&amp;AN6&amp;"'"&amp;"!A:A"),"总价",INDIRECT("'"&amp;AN6&amp;"'"&amp;"!B:B"))</f>
        <v>23311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13号楼</v>
      </c>
      <c r="B7" s="1712" t="str">
        <f t="shared" ref="B7:B13" si="1">IF(A7=0,"","经营性")</f>
        <v>经营性</v>
      </c>
      <c r="C7" s="1713" t="str">
        <f>C6</f>
        <v>公共服务</v>
      </c>
      <c r="D7" s="858">
        <f>SUMIF(项目基本情况!C$12:I$12,C7,项目基本情况!C$14:I$14)</f>
        <v>50</v>
      </c>
      <c r="E7" s="857">
        <f>IF(B7="","",SUMIF(项目基本情况!C$12:I$12,C7,项目基本情况!C$13:I$13))</f>
        <v>55121</v>
      </c>
      <c r="F7" s="64">
        <f>SUMIF(项目基本情况!C$12:I$12,C7,项目基本情况!C$15:I$15)</f>
        <v>26.7</v>
      </c>
      <c r="G7" s="65">
        <f t="shared" ref="G7:G11" si="2">IF(ISERROR(ROUND(POWER(1+H7,D7-F7)*(POWER(1+H7,F7)-1)/(POWER(1+H7,D7)-1),3)),0,ROUND(POWER(1+H7,D7-F7)*(POWER(1+H7,F7)-1)/(POWER(1+H7,D7)-1),3))</f>
        <v>0.79800000000000004</v>
      </c>
      <c r="H7" s="732">
        <f>H6</f>
        <v>0.05</v>
      </c>
      <c r="I7" s="732">
        <f>I6</f>
        <v>5.5E-2</v>
      </c>
      <c r="J7" s="66">
        <f>J6</f>
        <v>7.0000000000000007E-2</v>
      </c>
      <c r="K7" s="1030">
        <f>SUMIF('数据-汇总表'!C$19:C$33,A7,'数据-汇总表'!E$19:E$33)</f>
        <v>25292.940000000002</v>
      </c>
      <c r="L7" s="733">
        <f>L6</f>
        <v>6000</v>
      </c>
      <c r="M7" s="67">
        <f t="shared" si="0"/>
        <v>15176</v>
      </c>
      <c r="N7" s="731">
        <f>N6</f>
        <v>0.85</v>
      </c>
      <c r="O7" s="67" t="str">
        <f t="shared" ref="O7:O14" si="3">IF($N$5="成新度","——",ROUND(M7*N7,0))</f>
        <v>——</v>
      </c>
      <c r="P7" s="68" t="str">
        <f t="shared" ref="P7:P14" si="4">IF($N$5="成新度","——",M7-O7)</f>
        <v>——</v>
      </c>
      <c r="Q7" s="734">
        <v>0.12</v>
      </c>
      <c r="R7" s="69">
        <f ca="1">SUMIF('数据-汇总表'!C$19:C$33,A7,'数据-汇总表'!R$19:R$27)</f>
        <v>11939.52</v>
      </c>
      <c r="S7" s="51">
        <f>IF('数据-汇总表'!$I$17="按面积比例",SUMIF('数据-汇总表'!C$19:C$33,A7,'数据-汇总表'!K$19:K$33),SUMIF('数据-汇总表'!C$19:C$33,A7,'数据-汇总表'!N$19:N$33))</f>
        <v>0</v>
      </c>
      <c r="T7" s="1172">
        <f t="shared" ref="T7:T13" si="5">ROUND($L$14*S7/10000,0)</f>
        <v>0</v>
      </c>
      <c r="U7" s="3510">
        <f>租赁情况!G11</f>
        <v>3.16</v>
      </c>
      <c r="V7" s="70">
        <v>0</v>
      </c>
      <c r="W7" s="70">
        <v>0</v>
      </c>
      <c r="X7" s="1040"/>
      <c r="Y7" s="71">
        <f>Y6</f>
        <v>0.85</v>
      </c>
      <c r="Z7" s="3516">
        <f>ROUND(X20*(1+3%)^AF7,2)</f>
        <v>3.58</v>
      </c>
      <c r="AA7" s="66">
        <v>2.5000000000000001E-2</v>
      </c>
      <c r="AB7" s="66">
        <v>0.05</v>
      </c>
      <c r="AC7" s="1040"/>
      <c r="AD7" s="73">
        <f>租赁情况!H11</f>
        <v>0.8</v>
      </c>
      <c r="AE7" s="1041">
        <f t="shared" ref="AE7:AE13" ca="1" si="6">IF(AN7="",0,SUMIF(INDIRECT("'"&amp;AN7&amp;"'"&amp;"!E:E"),$AE$5,INDIRECT("'"&amp;AN7&amp;"'"&amp;"!F:F")))</f>
        <v>26.7</v>
      </c>
      <c r="AF7" s="3513">
        <f>租赁情况!D11</f>
        <v>3.78</v>
      </c>
      <c r="AG7" s="138">
        <f t="shared" ref="AG7:AG13" ca="1" si="7">IF(AF7="",0,AE7-AF7)</f>
        <v>22.919999999999998</v>
      </c>
      <c r="AH7" s="74"/>
      <c r="AI7" s="76">
        <v>365</v>
      </c>
      <c r="AJ7" s="77"/>
      <c r="AK7" s="78">
        <f>AK6</f>
        <v>5.0000000000000001E-3</v>
      </c>
      <c r="AL7" s="79">
        <f>AL6</f>
        <v>1E-3</v>
      </c>
      <c r="AM7" s="80">
        <f>AM6</f>
        <v>5.0000000000000001E-3</v>
      </c>
      <c r="AN7" s="1714" t="s">
        <v>3661</v>
      </c>
      <c r="AO7" s="52">
        <f t="shared" ref="AO7:AO13" ca="1" si="8">SUMIF(INDIRECT("'"&amp;AN7&amp;"'"&amp;"!A:A"),"总价",INDIRECT("'"&amp;AN7&amp;"'"&amp;"!B:B"))</f>
        <v>41533</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0.79800000000000004</v>
      </c>
      <c r="H16" s="90">
        <f>ROUND(SUMPRODUCT(H6:H13,K6:K13)/SUMPRODUCT((H6:H13&gt;0)*(K6:K13)),3)</f>
        <v>0.05</v>
      </c>
      <c r="I16" s="91"/>
      <c r="J16" s="91"/>
      <c r="K16" s="92">
        <f>SUM(K6:K15)</f>
        <v>36780.86</v>
      </c>
      <c r="L16" s="93">
        <f>ROUND(M16*10000/SUM(K6:K14),0)</f>
        <v>6000</v>
      </c>
      <c r="M16" s="93">
        <f>SUM(M6:M14)</f>
        <v>22069</v>
      </c>
      <c r="N16" s="94">
        <f>ROUND(SUMPRODUCT(M6:M14,N6:N14)/M16,3)</f>
        <v>0.85</v>
      </c>
      <c r="O16" s="93">
        <f>SUM(O6:O14)</f>
        <v>0</v>
      </c>
      <c r="P16" s="93">
        <f>SUM(P6:P14)</f>
        <v>0</v>
      </c>
      <c r="Q16" s="95">
        <f>ROUND(SUMPRODUCT(Q6:Q13,K6:K13)/SUMPRODUCT((Q6:Q13&gt;0)*(K6:K13)),2)</f>
        <v>0.13</v>
      </c>
      <c r="R16" s="1034">
        <f ca="1">SUM(R6:R13)</f>
        <v>17362.38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3497" t="s">
        <v>3694</v>
      </c>
      <c r="V17" s="3497" t="s">
        <v>3695</v>
      </c>
      <c r="W17" s="2670"/>
      <c r="X17" s="3497" t="s">
        <v>3696</v>
      </c>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3497" t="s">
        <v>3644</v>
      </c>
      <c r="N18" s="2670">
        <f>ROUND(1-(2024-N17)/60,2)</f>
        <v>0.85</v>
      </c>
      <c r="O18" s="2670"/>
      <c r="P18" s="2670"/>
      <c r="Q18" s="2670"/>
      <c r="R18" s="2670"/>
      <c r="S18" s="2670"/>
      <c r="T18" s="2670" t="s">
        <v>3692</v>
      </c>
      <c r="U18" s="2670">
        <f>'数据-汇总表'!F19</f>
        <v>11487.92</v>
      </c>
      <c r="V18" s="2670">
        <f>'数据-汇总表'!G19</f>
        <v>0</v>
      </c>
      <c r="W18" s="2670">
        <f>U18+V18</f>
        <v>11487.92</v>
      </c>
      <c r="X18" s="2680">
        <v>3.9</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v>0</v>
      </c>
      <c r="C19" s="2797" t="s">
        <v>2302</v>
      </c>
      <c r="D19" s="2675"/>
      <c r="E19" s="2672"/>
      <c r="F19" s="2672"/>
      <c r="G19" s="2672"/>
      <c r="H19" s="2672"/>
      <c r="I19" s="2672"/>
      <c r="J19" s="2672" t="s">
        <v>3702</v>
      </c>
      <c r="K19" s="2671"/>
      <c r="L19" s="2671"/>
      <c r="M19" s="2670"/>
      <c r="N19" s="2670"/>
      <c r="O19" s="2672"/>
      <c r="P19" s="2671"/>
      <c r="Q19" s="2671"/>
      <c r="R19" s="2670"/>
      <c r="S19" s="2670"/>
      <c r="T19" s="2670" t="s">
        <v>3693</v>
      </c>
      <c r="U19" s="2670">
        <f>'数据-汇总表'!F20</f>
        <v>18756.07</v>
      </c>
      <c r="V19" s="2670">
        <f>'数据-汇总表'!G20</f>
        <v>6536.8700000000008</v>
      </c>
      <c r="W19" s="2670">
        <f>U19+V19</f>
        <v>25292.940000000002</v>
      </c>
      <c r="X19" s="2670">
        <f>ROUND((U19*X18+V19*0.8)/W19,1)</f>
        <v>3.1</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8" t="s">
        <v>2300</v>
      </c>
      <c r="D20" s="2675"/>
      <c r="E20" s="2672"/>
      <c r="F20" s="2672"/>
      <c r="G20" s="2672"/>
      <c r="H20" s="2672"/>
      <c r="I20" s="2672"/>
      <c r="J20" s="1474" t="s">
        <v>3648</v>
      </c>
      <c r="K20" s="3498"/>
      <c r="L20" s="3498"/>
      <c r="M20" s="3498"/>
      <c r="N20" s="2670"/>
      <c r="O20" s="1474"/>
      <c r="P20" s="3498"/>
      <c r="Q20" s="3498"/>
      <c r="R20" s="3498"/>
      <c r="S20" s="2670"/>
      <c r="T20" s="3497"/>
      <c r="U20" s="2670"/>
      <c r="V20" s="2670"/>
      <c r="W20" s="2670"/>
      <c r="X20" s="2670">
        <v>3.2</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3499"/>
      <c r="K21" s="3500" t="s">
        <v>3649</v>
      </c>
      <c r="L21" s="3500" t="s">
        <v>3650</v>
      </c>
      <c r="M21" s="3500" t="s">
        <v>3651</v>
      </c>
      <c r="N21" s="2670"/>
      <c r="O21" s="3499"/>
      <c r="P21" s="3500"/>
      <c r="Q21" s="3500"/>
      <c r="R21" s="3500"/>
      <c r="S21" s="2670"/>
      <c r="T21" s="168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3501" t="s">
        <v>3652</v>
      </c>
      <c r="K22" s="3502">
        <f>K23+K24</f>
        <v>36780.86</v>
      </c>
      <c r="L22" s="3502">
        <f>M22/K22</f>
        <v>0.2355572980077138</v>
      </c>
      <c r="M22" s="3502">
        <f>M23+M24</f>
        <v>8664</v>
      </c>
      <c r="N22" s="2670"/>
      <c r="O22" s="3501"/>
      <c r="P22" s="3502"/>
      <c r="Q22" s="3502"/>
      <c r="R22" s="3502"/>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3500" t="s">
        <v>3653</v>
      </c>
      <c r="K23" s="3503">
        <f>'数据-汇总表'!F31</f>
        <v>30243.989999999998</v>
      </c>
      <c r="L23" s="3499">
        <v>2000</v>
      </c>
      <c r="M23" s="3499">
        <f>ROUND(L23*K23/10000,0)</f>
        <v>6049</v>
      </c>
      <c r="N23" s="2670"/>
      <c r="O23" s="3500"/>
      <c r="P23" s="3503"/>
      <c r="Q23" s="3499"/>
      <c r="R23" s="3499"/>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3500" t="s">
        <v>3654</v>
      </c>
      <c r="K24" s="3499">
        <f>'数据-汇总表'!G31</f>
        <v>6536.8700000000008</v>
      </c>
      <c r="L24" s="3499">
        <v>4000</v>
      </c>
      <c r="M24" s="3499">
        <f t="shared" ref="M24:M25" si="12">ROUND(L24*K24/10000,0)</f>
        <v>2615</v>
      </c>
      <c r="N24" s="2670"/>
      <c r="O24" s="3500"/>
      <c r="P24" s="3499"/>
      <c r="Q24" s="3499"/>
      <c r="R24" s="3499"/>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3501" t="s">
        <v>3658</v>
      </c>
      <c r="K25" s="3502">
        <f>K22</f>
        <v>36780.86</v>
      </c>
      <c r="L25" s="3502">
        <v>1500</v>
      </c>
      <c r="M25" s="3499">
        <f t="shared" si="12"/>
        <v>5517</v>
      </c>
      <c r="N25" s="2670"/>
      <c r="O25" s="3501"/>
      <c r="P25" s="3502"/>
      <c r="Q25" s="3502"/>
      <c r="R25" s="3499"/>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3501" t="s">
        <v>3655</v>
      </c>
      <c r="K26" s="3502">
        <f>K22</f>
        <v>36780.86</v>
      </c>
      <c r="L26" s="3502">
        <v>1500</v>
      </c>
      <c r="M26" s="3499">
        <f>ROUND(L26*K26/10000,0)</f>
        <v>5517</v>
      </c>
      <c r="N26" s="2670"/>
      <c r="O26" s="3501"/>
      <c r="P26" s="3502"/>
      <c r="Q26" s="3502"/>
      <c r="R26" s="3499"/>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799" t="s">
        <v>2304</v>
      </c>
      <c r="D27" s="2678"/>
      <c r="E27" s="2660"/>
      <c r="F27" s="2660"/>
      <c r="G27" s="2672"/>
      <c r="H27" s="2672"/>
      <c r="I27" s="2672"/>
      <c r="J27" s="3501" t="s">
        <v>3656</v>
      </c>
      <c r="K27" s="3502">
        <v>5643.86</v>
      </c>
      <c r="L27" s="3502">
        <v>4000</v>
      </c>
      <c r="M27" s="3499">
        <f>ROUND(L27*K27/10000,0)</f>
        <v>2258</v>
      </c>
      <c r="N27" s="2670"/>
      <c r="O27" s="3501"/>
      <c r="P27" s="3502"/>
      <c r="Q27" s="3502"/>
      <c r="R27" s="3499"/>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c r="C28" s="2679"/>
      <c r="D28" s="2678"/>
      <c r="E28" s="2660"/>
      <c r="F28" s="2660"/>
      <c r="G28" s="2672"/>
      <c r="H28" s="2672"/>
      <c r="I28" s="2672"/>
      <c r="J28" s="3500" t="s">
        <v>3657</v>
      </c>
      <c r="K28" s="3499">
        <f>K22</f>
        <v>36780.86</v>
      </c>
      <c r="L28" s="3499">
        <f>ROUND(M28/K28*10000,0)</f>
        <v>5969</v>
      </c>
      <c r="M28" s="3499">
        <f>M22+M25+M26+M27</f>
        <v>21956</v>
      </c>
      <c r="N28" s="2670"/>
      <c r="O28" s="3500"/>
      <c r="P28" s="3499"/>
      <c r="Q28" s="3499"/>
      <c r="R28" s="3499"/>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c r="C29" s="2800" t="s">
        <v>2291</v>
      </c>
      <c r="D29" s="2678"/>
      <c r="E29" s="2660"/>
      <c r="F29" s="2660"/>
      <c r="G29" s="2672"/>
      <c r="H29" s="2672"/>
      <c r="I29" s="2672"/>
      <c r="J29" s="794"/>
      <c r="K29" s="794"/>
      <c r="L29" s="794"/>
      <c r="M29" s="794"/>
      <c r="N29" s="2670"/>
      <c r="O29" s="794"/>
      <c r="P29" s="794"/>
      <c r="Q29" s="794"/>
      <c r="R29" s="794"/>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9"/>
      <c r="D30" s="2678"/>
      <c r="E30" s="2660"/>
      <c r="F30" s="2660"/>
      <c r="G30" s="2672"/>
      <c r="H30" s="2672"/>
      <c r="I30" s="2672"/>
      <c r="J30" s="794"/>
      <c r="K30" s="794"/>
      <c r="L30" s="794"/>
      <c r="M30" s="794"/>
      <c r="N30" s="2670"/>
      <c r="O30" s="794"/>
      <c r="P30" s="794"/>
      <c r="Q30" s="794"/>
      <c r="R30" s="794"/>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7"/>
      <c r="D31" s="2678"/>
      <c r="E31" s="2660"/>
      <c r="F31" s="2660"/>
      <c r="G31" s="2672"/>
      <c r="H31" s="2672"/>
      <c r="I31" s="2672"/>
      <c r="J31" s="794"/>
      <c r="K31" s="794"/>
      <c r="L31" s="794"/>
      <c r="M31" s="794"/>
      <c r="N31" s="2670"/>
      <c r="O31" s="794"/>
      <c r="P31" s="794"/>
      <c r="Q31" s="794"/>
      <c r="R31" s="794"/>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801"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1"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v>200</v>
      </c>
      <c r="C35" s="2801"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801"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1"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1"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3" t="s">
        <v>2311</v>
      </c>
      <c r="B40" s="1078">
        <f ca="1">IF(A40="利息：取LPR",存贷款利率!G1,存贷款利率!G1+C40)</f>
        <v>3.4500000000000003E-2</v>
      </c>
      <c r="C40" s="2812">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1"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0"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0"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3"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0"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0"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v>
      </c>
      <c r="C53" s="2660" t="s">
        <v>1244</v>
      </c>
      <c r="D53" s="2802"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6" sqref="L26"/>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04" t="s">
        <v>2283</v>
      </c>
      <c r="B1" s="3605"/>
      <c r="C1" s="3605"/>
      <c r="D1" s="3605"/>
      <c r="E1" s="3605"/>
      <c r="F1" s="3605"/>
      <c r="G1" s="360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2"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3" sqref="F23"/>
    </sheetView>
  </sheetViews>
  <sheetFormatPr defaultColWidth="9" defaultRowHeight="13.5"/>
  <cols>
    <col min="1" max="1" width="25" style="2512" customWidth="1"/>
    <col min="2" max="9" width="15.75" style="2512" customWidth="1"/>
    <col min="10" max="10" width="22.125" style="2512" bestFit="1" customWidth="1"/>
    <col min="11" max="16384" width="9" style="2512"/>
  </cols>
  <sheetData>
    <row r="1" spans="1:11" ht="16.5">
      <c r="A1" s="2511" t="s">
        <v>665</v>
      </c>
      <c r="B1" s="2511">
        <f>SUM(B14:B23)</f>
        <v>36780.86</v>
      </c>
      <c r="C1" s="2685"/>
      <c r="D1" s="2685"/>
      <c r="E1" s="2685"/>
      <c r="F1" s="2685"/>
      <c r="G1" s="2686"/>
      <c r="H1" s="2687"/>
      <c r="I1" s="2687"/>
      <c r="J1" s="2687"/>
      <c r="K1" s="2687"/>
    </row>
    <row r="2" spans="1:11" ht="16.5">
      <c r="A2" s="2511" t="s">
        <v>653</v>
      </c>
      <c r="B2" s="2511">
        <f>SUM(C14:C23)</f>
        <v>17362.38</v>
      </c>
      <c r="C2" s="2685"/>
      <c r="D2" s="2685"/>
      <c r="E2" s="2685"/>
      <c r="F2" s="2685"/>
      <c r="G2" s="2686"/>
      <c r="H2" s="2687"/>
      <c r="I2" s="2687"/>
      <c r="J2" s="2687"/>
      <c r="K2" s="2687"/>
    </row>
    <row r="3" spans="1:11" ht="16.5">
      <c r="A3" s="2511" t="s">
        <v>662</v>
      </c>
      <c r="B3" s="2513">
        <f>项目基本情况!D3</f>
        <v>45372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84920</v>
      </c>
      <c r="C5" s="2511">
        <f ca="1">IF(B5=D14,结果表12号楼!H102,ROUND(B5*10000/$B$1,0))</f>
        <v>23088</v>
      </c>
      <c r="D5" s="2511">
        <f ca="1">ROUND(B5*10000/$B$2,0)</f>
        <v>48910</v>
      </c>
      <c r="E5" s="2685">
        <v>84688</v>
      </c>
      <c r="F5" s="2686"/>
      <c r="G5" s="2686"/>
      <c r="H5" s="2687"/>
      <c r="I5" s="2687"/>
      <c r="J5" s="2687"/>
      <c r="K5" s="2687"/>
    </row>
    <row r="6" spans="1:11" ht="16.5">
      <c r="A6" s="2511" t="s">
        <v>656</v>
      </c>
      <c r="B6" s="2511">
        <f ca="1">SUM(G14:G23)</f>
        <v>84920</v>
      </c>
      <c r="C6" s="2511">
        <f ca="1">IF(B6=G14,结果表12号楼!H108,ROUND(B6*10000/$B$1,0))</f>
        <v>23088</v>
      </c>
      <c r="D6" s="2511">
        <f ca="1">ROUND(B6*10000/$B$2,0)</f>
        <v>48910</v>
      </c>
      <c r="E6" s="2685"/>
      <c r="F6" s="2686"/>
      <c r="G6" s="2686"/>
      <c r="H6" s="2687"/>
      <c r="I6" s="2687"/>
      <c r="J6" s="2687"/>
      <c r="K6" s="2687"/>
    </row>
    <row r="7" spans="1:11" ht="16.5">
      <c r="A7" s="2511" t="s">
        <v>664</v>
      </c>
      <c r="B7" s="2511">
        <f>SUM(H14:H23)</f>
        <v>0</v>
      </c>
      <c r="C7" s="2511" t="str">
        <f>IF(B7=H14,结果表12号楼!H110,ROUND(B7*10000/$B$1,0))</f>
        <v>——</v>
      </c>
      <c r="D7" s="2511">
        <f>ROUND(B7*10000/$B$2,0)</f>
        <v>0</v>
      </c>
      <c r="E7" s="2685"/>
      <c r="F7" s="2686"/>
      <c r="G7" s="2686"/>
      <c r="H7" s="2687"/>
      <c r="I7" s="2687"/>
      <c r="J7" s="2687"/>
      <c r="K7" s="2687"/>
    </row>
    <row r="8" spans="1:11" ht="16.5">
      <c r="A8" s="2511" t="s">
        <v>587</v>
      </c>
      <c r="B8" s="2511">
        <f ca="1">SUM(I14:I23)</f>
        <v>76385</v>
      </c>
      <c r="C8" s="2511">
        <f ca="1">IF(B8=I14,结果表12号楼!H112,ROUND(B8*10000/$B$1,0))</f>
        <v>20768</v>
      </c>
      <c r="D8" s="2511">
        <f ca="1">ROUND(B8*10000/$B$2,0)</f>
        <v>43995</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39"/>
      <c r="F10" s="3443" t="s">
        <v>3358</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结果表12号楼!B118</f>
        <v>11487.92</v>
      </c>
      <c r="C14" s="2517">
        <f>结果表12号楼!C118</f>
        <v>5422.86</v>
      </c>
      <c r="D14" s="2517">
        <f ca="1">结果表12号楼!H118</f>
        <v>27720</v>
      </c>
      <c r="E14" s="2517">
        <f ca="1">ROUND(D14*10000/B14,0)</f>
        <v>24130</v>
      </c>
      <c r="F14" s="2517">
        <f ca="1">ROUND(D14*10000/C14,0)</f>
        <v>51117</v>
      </c>
      <c r="G14" s="2517">
        <f ca="1">结果表12号楼!D122</f>
        <v>27720</v>
      </c>
      <c r="H14" s="2517"/>
      <c r="I14" s="2517">
        <f ca="1">结果表12号楼!P59</f>
        <v>24934</v>
      </c>
      <c r="J14" s="3511" t="str">
        <f ca="1">结果表12号楼!D123</f>
        <v>贰亿柒仟柒佰贰拾万元整</v>
      </c>
      <c r="K14" s="2687">
        <f ca="1">I14/B14</f>
        <v>2.1704538332439642</v>
      </c>
    </row>
    <row r="15" spans="1:11" ht="16.5">
      <c r="A15" s="2516" t="s">
        <v>649</v>
      </c>
      <c r="B15" s="2518">
        <f>结果表13号楼!B118</f>
        <v>25292.940000000002</v>
      </c>
      <c r="C15" s="2518">
        <f>结果表13号楼!C118</f>
        <v>11939.52</v>
      </c>
      <c r="D15" s="2518">
        <f ca="1">结果表13号楼!H118</f>
        <v>57200</v>
      </c>
      <c r="E15" s="2517">
        <f t="shared" ref="E15:E23" ca="1" si="0">ROUND(D15*10000/B15,0)</f>
        <v>22615</v>
      </c>
      <c r="F15" s="2517">
        <f t="shared" ref="F15:F23" ca="1" si="1">ROUND(D15*10000/C15,0)</f>
        <v>47908</v>
      </c>
      <c r="G15" s="1330">
        <f ca="1">结果表13号楼!D122</f>
        <v>57200</v>
      </c>
      <c r="H15" s="1330"/>
      <c r="I15" s="2517">
        <f ca="1">结果表13号楼!P59</f>
        <v>51451</v>
      </c>
      <c r="J15" s="3511" t="str">
        <f ca="1">结果表13号楼!D123</f>
        <v>伍亿柒仟贰佰万元整</v>
      </c>
      <c r="K15" s="2687">
        <f ca="1">I15/B15</f>
        <v>2.0342040110797717</v>
      </c>
    </row>
    <row r="16" spans="1:11" ht="16.5">
      <c r="A16" s="2516" t="s">
        <v>648</v>
      </c>
      <c r="B16" s="2518"/>
      <c r="C16" s="2518"/>
      <c r="D16" s="2518"/>
      <c r="E16" s="2517" t="e">
        <f t="shared" si="0"/>
        <v>#DIV/0!</v>
      </c>
      <c r="F16" s="2517" t="e">
        <f t="shared" si="1"/>
        <v>#DIV/0!</v>
      </c>
      <c r="G16" s="1330"/>
      <c r="H16" s="1330"/>
      <c r="I16" s="2518"/>
      <c r="J16" s="3512">
        <f ca="1">B6*10000</f>
        <v>849200000</v>
      </c>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34" zoomScale="85" zoomScaleNormal="100" zoomScaleSheetLayoutView="85" zoomScalePageLayoutView="80" workbookViewId="0">
      <selection activeCell="P59" sqref="P5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3645</v>
      </c>
      <c r="D1" s="1746"/>
      <c r="E1" s="1746"/>
      <c r="F1" s="1748" t="s">
        <v>1261</v>
      </c>
      <c r="G1" s="1560" t="s">
        <v>3689</v>
      </c>
      <c r="H1" s="1749" t="str">
        <f>IF(G1="现房","——","估价对象范围")</f>
        <v>——</v>
      </c>
      <c r="I1" s="1750"/>
    </row>
    <row r="2" spans="1:12" ht="21.75" customHeight="1" thickBot="1">
      <c r="A2" s="3640" t="str">
        <f>项目基本情况!S2</f>
        <v>北京市房地产</v>
      </c>
      <c r="B2" s="3641"/>
      <c r="C2" s="3641"/>
      <c r="D2" s="3641"/>
      <c r="E2" s="3641"/>
      <c r="F2" s="3641"/>
      <c r="G2" s="3641"/>
      <c r="H2" s="3641"/>
      <c r="I2" s="3642"/>
    </row>
    <row r="3" spans="1:12" ht="12.75">
      <c r="A3" s="3644" t="s">
        <v>1262</v>
      </c>
      <c r="B3" s="3645"/>
      <c r="C3" s="3645"/>
      <c r="D3" s="3645"/>
      <c r="E3" s="3645"/>
      <c r="F3" s="3645"/>
      <c r="G3" s="3645"/>
      <c r="H3" s="3645"/>
      <c r="I3" s="3645"/>
    </row>
    <row r="4" spans="1:12" ht="14.25">
      <c r="A4" s="1753" t="s">
        <v>1263</v>
      </c>
      <c r="B4" s="1754" t="s">
        <v>1264</v>
      </c>
      <c r="C4" s="1755" t="s">
        <v>3688</v>
      </c>
      <c r="D4" s="1755" t="s">
        <v>3659</v>
      </c>
      <c r="E4" s="3646" t="s">
        <v>1265</v>
      </c>
      <c r="F4" s="3647"/>
      <c r="G4" s="3647"/>
      <c r="H4" s="3647"/>
      <c r="I4" s="3648"/>
      <c r="K4" s="146" t="str">
        <f>IF(ISNUMBER(FIND("比较法",结果表12号楼!C4)),"比较法",IF(ISNUMBER(FIND("成本法",结果表12号楼!C4)),"成本法",IF(ISNUMBER(FIND("假设开发法",结果表12号楼!C4)),"假设开发法",IF(ISNUMBER(FIND("收益法",结果表12号楼!C4)),"收益法","基准地价系数修正法"))))</f>
        <v>比较法</v>
      </c>
      <c r="L4" s="146" t="str">
        <f>IF(ISNUMBER(FIND("比较法",结果表12号楼!D4)),"比较法",IF(ISNUMBER(FIND("成本法",结果表12号楼!D4)),"成本法",IF(ISNUMBER(FIND("假设开发法",结果表12号楼!D4)),"假设开发法",IF(ISNUMBER(FIND("收益法",结果表12号楼!D4)),"收益法","基准地价系数修正法"))))</f>
        <v>收益法</v>
      </c>
    </row>
    <row r="5" spans="1:12" ht="12.75">
      <c r="A5" s="3620" t="s">
        <v>1266</v>
      </c>
      <c r="B5" s="3607">
        <v>25</v>
      </c>
      <c r="C5" s="3623"/>
      <c r="D5" s="3643"/>
      <c r="E5" s="131" t="s">
        <v>1267</v>
      </c>
      <c r="F5" s="1756"/>
      <c r="G5" s="1756"/>
      <c r="H5" s="1756"/>
      <c r="I5" s="1372"/>
    </row>
    <row r="6" spans="1:12" ht="12.75">
      <c r="A6" s="3620"/>
      <c r="B6" s="3607"/>
      <c r="C6" s="3624"/>
      <c r="D6" s="3643"/>
      <c r="E6" s="131" t="s">
        <v>1268</v>
      </c>
      <c r="F6" s="1756"/>
      <c r="G6" s="1756"/>
      <c r="H6" s="1756"/>
      <c r="I6" s="1372"/>
    </row>
    <row r="7" spans="1:12" ht="12.75">
      <c r="A7" s="3620"/>
      <c r="B7" s="3607"/>
      <c r="C7" s="3625"/>
      <c r="D7" s="3643"/>
      <c r="E7" s="131" t="s">
        <v>1269</v>
      </c>
      <c r="F7" s="1756"/>
      <c r="G7" s="1756"/>
      <c r="H7" s="1756"/>
      <c r="I7" s="1372"/>
    </row>
    <row r="8" spans="1:12" ht="12.75">
      <c r="A8" s="3620" t="s">
        <v>1270</v>
      </c>
      <c r="B8" s="3607">
        <v>15</v>
      </c>
      <c r="C8" s="3623"/>
      <c r="D8" s="3643"/>
      <c r="E8" s="131" t="s">
        <v>1271</v>
      </c>
      <c r="F8" s="1756"/>
      <c r="G8" s="1756"/>
      <c r="H8" s="1756"/>
      <c r="I8" s="1372"/>
    </row>
    <row r="9" spans="1:12" ht="12.75">
      <c r="A9" s="3620"/>
      <c r="B9" s="3607"/>
      <c r="C9" s="3625"/>
      <c r="D9" s="3643"/>
      <c r="E9" s="131" t="s">
        <v>1272</v>
      </c>
      <c r="F9" s="1756"/>
      <c r="G9" s="1756"/>
      <c r="H9" s="1756"/>
      <c r="I9" s="1372"/>
    </row>
    <row r="10" spans="1:12" ht="12.75">
      <c r="A10" s="3620" t="s">
        <v>1273</v>
      </c>
      <c r="B10" s="3607">
        <v>15</v>
      </c>
      <c r="C10" s="3623"/>
      <c r="D10" s="3643"/>
      <c r="E10" s="131" t="s">
        <v>1274</v>
      </c>
      <c r="F10" s="1756"/>
      <c r="G10" s="1756"/>
      <c r="H10" s="1756"/>
      <c r="I10" s="1372"/>
    </row>
    <row r="11" spans="1:12" ht="12.75">
      <c r="A11" s="3620"/>
      <c r="B11" s="3607"/>
      <c r="C11" s="3625"/>
      <c r="D11" s="3643"/>
      <c r="E11" s="131" t="s">
        <v>1275</v>
      </c>
      <c r="F11" s="1756"/>
      <c r="G11" s="1756"/>
      <c r="H11" s="1756"/>
      <c r="I11" s="1372"/>
    </row>
    <row r="12" spans="1:12" ht="12.75">
      <c r="A12" s="3620" t="s">
        <v>1276</v>
      </c>
      <c r="B12" s="3607">
        <v>15</v>
      </c>
      <c r="C12" s="3623"/>
      <c r="D12" s="3643"/>
      <c r="E12" s="131" t="s">
        <v>1277</v>
      </c>
      <c r="F12" s="1756"/>
      <c r="G12" s="1756"/>
      <c r="H12" s="1756"/>
      <c r="I12" s="1372"/>
    </row>
    <row r="13" spans="1:12" ht="12.75">
      <c r="A13" s="3620"/>
      <c r="B13" s="3607"/>
      <c r="C13" s="3625"/>
      <c r="D13" s="3643"/>
      <c r="E13" s="131" t="s">
        <v>1278</v>
      </c>
      <c r="F13" s="1756"/>
      <c r="G13" s="1756"/>
      <c r="H13" s="1756"/>
      <c r="I13" s="1372"/>
    </row>
    <row r="14" spans="1:12" ht="12.75">
      <c r="A14" s="3620" t="s">
        <v>1279</v>
      </c>
      <c r="B14" s="3607">
        <v>30</v>
      </c>
      <c r="C14" s="3623">
        <v>7</v>
      </c>
      <c r="D14" s="3643">
        <v>3</v>
      </c>
      <c r="E14" s="131" t="s">
        <v>1280</v>
      </c>
      <c r="F14" s="1756"/>
      <c r="G14" s="1756"/>
      <c r="H14" s="1756"/>
      <c r="I14" s="1372"/>
    </row>
    <row r="15" spans="1:12" ht="12.75">
      <c r="A15" s="3620"/>
      <c r="B15" s="3607"/>
      <c r="C15" s="3624"/>
      <c r="D15" s="3643"/>
      <c r="E15" s="131" t="s">
        <v>1281</v>
      </c>
      <c r="F15" s="1756"/>
      <c r="G15" s="1756"/>
      <c r="H15" s="1756"/>
      <c r="I15" s="1372"/>
    </row>
    <row r="16" spans="1:12" ht="12.75">
      <c r="A16" s="3620"/>
      <c r="B16" s="3607"/>
      <c r="C16" s="3625"/>
      <c r="D16" s="3643"/>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30" t="s">
        <v>2128</v>
      </c>
      <c r="F18" s="3631"/>
      <c r="G18" s="3631"/>
      <c r="H18" s="3631"/>
      <c r="I18" s="3631"/>
      <c r="K18" s="302" t="s">
        <v>1287</v>
      </c>
      <c r="L18" s="302">
        <f>IF(C1="",'数据-汇总表'!E3,SUMIF(项目类型,C1,'数据-汇总表'!E17:E26)+SUMIF(项目类型,C1,'数据-汇总表'!I17:I26))</f>
        <v>11487.92</v>
      </c>
      <c r="M18" s="302">
        <f>IF(C1="",'数据-汇总表'!E3,SUMIF(项目类型,C1,'数据-汇总表'!E17:E26))</f>
        <v>11487.92</v>
      </c>
    </row>
    <row r="19" spans="1:36" ht="15">
      <c r="A19" s="1760" t="s">
        <v>1288</v>
      </c>
      <c r="B19" s="1761" t="s">
        <v>1289</v>
      </c>
      <c r="C19" s="134">
        <f ca="1">SUMIF(INDIRECT("'"&amp;C4&amp;"'"&amp;"!A:A"),结果表12号楼!B19,INDIRECT("'"&amp;C4&amp;"'"&amp;"!B:B"))</f>
        <v>29610</v>
      </c>
      <c r="D19" s="135">
        <f ca="1">SUMIF(INDIRECT("'"&amp;D4&amp;"'"&amp;"!A:A"),结果表12号楼!B19,INDIRECT("'"&amp;D4&amp;"'"&amp;"!B:B"))</f>
        <v>23311</v>
      </c>
      <c r="E19" s="1760" t="s">
        <v>1290</v>
      </c>
      <c r="F19" s="1761" t="s">
        <v>1289</v>
      </c>
      <c r="G19" s="136">
        <f ca="1">ROUND(C19*$C$18+D19*$D$18,0)</f>
        <v>27720</v>
      </c>
      <c r="H19" s="1762" t="s">
        <v>1291</v>
      </c>
      <c r="I19" s="129"/>
      <c r="J19" s="725">
        <v>26780</v>
      </c>
      <c r="K19" s="302" t="s">
        <v>1292</v>
      </c>
      <c r="L19" s="302">
        <f>IF(C1="",'数据-汇总表'!D3,SUMIF(项目类型,C1,'数据-汇总表'!D17:D26)+SUMIF(项目类型,C1,'数据-汇总表'!H17:H27))</f>
        <v>5422.86</v>
      </c>
      <c r="M19" s="302">
        <f>IF(C1="",'数据-汇总表'!D3,SUMIF(项目类型,C1,'数据-汇总表'!D17:D26))</f>
        <v>5422.86</v>
      </c>
    </row>
    <row r="20" spans="1:36" ht="15">
      <c r="A20" s="1763"/>
      <c r="B20" s="1026" t="s">
        <v>1293</v>
      </c>
      <c r="C20" s="137">
        <f ca="1">SUMIF(INDIRECT("'"&amp;C4&amp;"'"&amp;"!A:A"),结果表12号楼!B20,INDIRECT("'"&amp;C4&amp;"'"&amp;"!B:B"))</f>
        <v>25775</v>
      </c>
      <c r="D20" s="138">
        <f ca="1">SUMIF(INDIRECT("'"&amp;D4&amp;"'"&amp;"!A:A"),结果表12号楼!B20,INDIRECT("'"&amp;D4&amp;"'"&amp;"!B:B"))</f>
        <v>20292</v>
      </c>
      <c r="E20" s="1763"/>
      <c r="F20" s="1026" t="s">
        <v>1293</v>
      </c>
      <c r="G20" s="139">
        <f ca="1">ROUND(C20*$C$18+D20*$D$18,0)</f>
        <v>24130</v>
      </c>
      <c r="H20" s="808" t="s">
        <v>1294</v>
      </c>
      <c r="I20" s="129"/>
      <c r="J20" s="725">
        <f>ROUND(J19/B118*10000,0)</f>
        <v>23311</v>
      </c>
    </row>
    <row r="21" spans="1:36" ht="15" customHeight="1" thickBot="1">
      <c r="A21" s="828"/>
      <c r="B21" s="1764" t="s">
        <v>1295</v>
      </c>
      <c r="C21" s="719">
        <f ca="1">ROUND(C19*10000/L19,0)</f>
        <v>54602</v>
      </c>
      <c r="D21" s="720">
        <f ca="1">ROUND(D19*10000/L19,0)</f>
        <v>42987</v>
      </c>
      <c r="E21" s="828"/>
      <c r="F21" s="1764" t="s">
        <v>1295</v>
      </c>
      <c r="G21" s="140">
        <f ca="1">ROUND(G19*10000/L19,0)</f>
        <v>51117</v>
      </c>
      <c r="H21" s="1765" t="s">
        <v>1294</v>
      </c>
      <c r="I21" s="129"/>
    </row>
    <row r="22" spans="1:36" ht="15" thickBot="1">
      <c r="A22" s="1687" t="s">
        <v>1296</v>
      </c>
      <c r="B22" s="1766"/>
      <c r="C22" s="1767"/>
      <c r="D22" s="721">
        <f ca="1">IF(C19&lt;D19,D19/C19-1,C19/D19-1)</f>
        <v>0.27021577795890361</v>
      </c>
      <c r="E22" s="129"/>
      <c r="F22" s="129"/>
      <c r="G22" s="129"/>
      <c r="H22" s="129"/>
      <c r="I22" s="129"/>
    </row>
    <row r="23" spans="1:36" ht="13.5" thickBot="1">
      <c r="A23" s="1746"/>
      <c r="B23" s="1746"/>
      <c r="C23" s="1746"/>
      <c r="D23" s="1746"/>
      <c r="E23" s="129"/>
      <c r="F23" s="129"/>
      <c r="G23" s="129"/>
      <c r="H23" s="129"/>
      <c r="I23" s="129"/>
    </row>
    <row r="24" spans="1:36" ht="14.25">
      <c r="A24" s="3614" t="s">
        <v>1297</v>
      </c>
      <c r="B24" s="1761" t="s">
        <v>1289</v>
      </c>
      <c r="C24" s="136">
        <f>IF(B30=0,0,D30)</f>
        <v>0</v>
      </c>
      <c r="D24" s="1768"/>
      <c r="E24" s="129"/>
      <c r="F24" s="129"/>
      <c r="G24" s="129"/>
      <c r="H24" s="129"/>
      <c r="I24" s="129"/>
    </row>
    <row r="25" spans="1:36" ht="14.25">
      <c r="A25" s="3615"/>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27720</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15523</v>
      </c>
      <c r="D34" s="861">
        <f ca="1">IF(C33="自定义",ROUND(C34/C32,3),IF(C33="收益比率",SUMIF(INDIRECT("'"&amp;D33&amp;"'"&amp;"!b:b"),"土地收益比率",INDIRECT("'"&amp;D33&amp;"'"&amp;"!c:c")),SUMIF(INDIRECT("'"&amp;D33&amp;"'"&amp;"!b:b"),"土地成本比率",INDIRECT("'"&amp;D33&amp;"'"&amp;"!c:c"))))</f>
        <v>0.56000000000000005</v>
      </c>
      <c r="E34" s="1782" t="s">
        <v>1307</v>
      </c>
      <c r="F34" s="1329"/>
      <c r="G34" s="129"/>
      <c r="H34" s="129"/>
      <c r="I34" s="129"/>
    </row>
    <row r="35" spans="1:15" ht="15.75" thickBot="1">
      <c r="A35" s="1783"/>
      <c r="B35" s="1784" t="s">
        <v>1308</v>
      </c>
      <c r="C35" s="1170">
        <f ca="1">IF(C33="自定义",F35,ROUND(C32*D35,0))</f>
        <v>12197</v>
      </c>
      <c r="D35" s="1171">
        <f ca="1">IF(C33="自定义",ROUND(C35/C32,3),IF(C33="收益比率",SUMIF(INDIRECT("'"&amp;D33&amp;"'"&amp;"!b:b"),"建筑物收益比率",INDIRECT("'"&amp;D33&amp;"'"&amp;"!c:c")),SUMIF(INDIRECT("'"&amp;D33&amp;"'"&amp;"!b:b"),"建筑物成本比率",INDIRECT("'"&amp;D33&amp;"'"&amp;"!c:c"))))</f>
        <v>0.44</v>
      </c>
      <c r="E35" s="1785" t="s">
        <v>1309</v>
      </c>
      <c r="F35" s="154"/>
      <c r="G35" s="129"/>
      <c r="H35" s="129"/>
      <c r="I35" s="129"/>
    </row>
    <row r="36" spans="1:15" ht="15.75" thickBot="1">
      <c r="A36" s="3634" t="s">
        <v>1310</v>
      </c>
      <c r="B36" s="1786" t="s">
        <v>1311</v>
      </c>
      <c r="C36" s="145"/>
      <c r="D36" s="1787"/>
      <c r="E36" s="1788"/>
      <c r="F36" s="1789"/>
      <c r="G36" s="129"/>
      <c r="H36" s="129"/>
      <c r="I36" s="129"/>
    </row>
    <row r="37" spans="1:15" ht="15.75" thickBot="1">
      <c r="A37" s="3635"/>
      <c r="B37" s="1673" t="s">
        <v>1312</v>
      </c>
      <c r="C37" s="147"/>
      <c r="D37" s="1139"/>
      <c r="E37" s="1139"/>
      <c r="F37" s="1789"/>
      <c r="G37" s="129"/>
      <c r="H37" s="129"/>
      <c r="I37" s="129"/>
    </row>
    <row r="38" spans="1:15" ht="15.75" thickBot="1">
      <c r="A38" s="3636"/>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11" t="s">
        <v>1324</v>
      </c>
      <c r="B45" s="3612"/>
      <c r="C45" s="3613"/>
      <c r="D45" s="155">
        <f ca="1">ROUND(H101*F45,0)</f>
        <v>27720</v>
      </c>
      <c r="E45" s="156" t="s">
        <v>1325</v>
      </c>
      <c r="F45" s="157">
        <v>1</v>
      </c>
      <c r="G45" s="158" t="s">
        <v>1326</v>
      </c>
      <c r="H45" s="129"/>
      <c r="I45" s="129"/>
      <c r="J45" s="3689" t="s">
        <v>1327</v>
      </c>
      <c r="K45" s="3689"/>
      <c r="L45" s="3689"/>
      <c r="M45" s="3689"/>
      <c r="N45" s="3689"/>
      <c r="O45" s="3689"/>
    </row>
    <row r="46" spans="1:15" ht="14.25" customHeight="1">
      <c r="A46" s="3608" t="s">
        <v>1328</v>
      </c>
      <c r="B46" s="3609"/>
      <c r="C46" s="3609"/>
      <c r="D46" s="3609"/>
      <c r="E46" s="3609"/>
      <c r="F46" s="3609"/>
      <c r="G46" s="3610"/>
      <c r="H46" s="1805"/>
      <c r="I46" s="159"/>
      <c r="J46" s="2522">
        <v>1</v>
      </c>
      <c r="K46" s="3670" t="s">
        <v>1329</v>
      </c>
      <c r="L46" s="3670"/>
      <c r="M46" s="3690"/>
      <c r="N46" s="3690"/>
      <c r="O46" s="3690"/>
    </row>
    <row r="47" spans="1:15" ht="12" customHeight="1">
      <c r="A47" s="160" t="s">
        <v>1330</v>
      </c>
      <c r="B47" s="161"/>
      <c r="C47" s="162"/>
      <c r="D47" s="1087" t="s">
        <v>1331</v>
      </c>
      <c r="E47" s="302" t="s">
        <v>1332</v>
      </c>
      <c r="F47" s="163" t="s">
        <v>1333</v>
      </c>
      <c r="G47" s="2545" t="s">
        <v>1334</v>
      </c>
      <c r="H47" s="2546"/>
      <c r="I47" s="159"/>
      <c r="J47" s="2522">
        <v>2</v>
      </c>
      <c r="K47" s="3670" t="s">
        <v>1335</v>
      </c>
      <c r="L47" s="3670"/>
      <c r="M47" s="3691">
        <f>'数据-取费表'!B2</f>
        <v>45372</v>
      </c>
      <c r="N47" s="3691"/>
      <c r="O47" s="3691"/>
    </row>
    <row r="48" spans="1:15" ht="25.5">
      <c r="A48" s="3639" t="s">
        <v>1336</v>
      </c>
      <c r="B48" s="3622"/>
      <c r="C48" s="3622"/>
      <c r="D48" s="2323">
        <f ca="1">IF(H48="情况1",0,IF(H48="情况2",D52,IF(H48="情况3",D53,IF(H48="情况4",D54))))</f>
        <v>1452</v>
      </c>
      <c r="E48" s="2333" t="str">
        <f>IF(H48="情况4","(销售额-原购置价)×税（费）率","销售额×税（费）率")</f>
        <v>销售额×税（费）率</v>
      </c>
      <c r="F48" s="2547">
        <f>IF(H48="情况1","免征",'数据-取费表'!B41)</f>
        <v>5.5000000000000007E-2</v>
      </c>
      <c r="G48" s="2548" t="s">
        <v>1337</v>
      </c>
      <c r="H48" s="2549" t="s">
        <v>3724</v>
      </c>
      <c r="I48" s="1805"/>
      <c r="J48" s="2522">
        <v>3</v>
      </c>
      <c r="K48" s="3670" t="s">
        <v>1338</v>
      </c>
      <c r="L48" s="3670"/>
      <c r="M48" s="3692">
        <f ca="1">H101</f>
        <v>27720</v>
      </c>
      <c r="N48" s="3692"/>
      <c r="O48" s="3692"/>
    </row>
    <row r="49" spans="1:35" ht="25.5" customHeight="1">
      <c r="A49" s="2332" t="s">
        <v>1339</v>
      </c>
      <c r="B49" s="3606" t="s">
        <v>1340</v>
      </c>
      <c r="C49" s="3606"/>
      <c r="D49" s="1589">
        <v>0</v>
      </c>
      <c r="E49" s="324" t="s">
        <v>1341</v>
      </c>
      <c r="F49" s="2423" t="s">
        <v>28</v>
      </c>
      <c r="G49" s="3676"/>
      <c r="H49" s="2309" t="s">
        <v>2131</v>
      </c>
      <c r="I49" s="2310"/>
      <c r="J49" s="2522">
        <v>4</v>
      </c>
      <c r="K49" s="3670" t="str">
        <f>IF(项目基本情况!E8="房地产抵押价值","房地产抵押价值","抵押担保权已注销时的房地产抵押价值")</f>
        <v>房地产抵押价值</v>
      </c>
      <c r="L49" s="3670"/>
      <c r="M49" s="3692">
        <f ca="1">IF(项目基本情况!E8="房地产抵押价值",H107,H109)</f>
        <v>27720</v>
      </c>
      <c r="N49" s="3692"/>
      <c r="O49" s="3692"/>
    </row>
    <row r="50" spans="1:35" ht="25.5" customHeight="1">
      <c r="A50" s="2550"/>
      <c r="B50" s="3606" t="s">
        <v>1342</v>
      </c>
      <c r="C50" s="3606"/>
      <c r="D50" s="2551"/>
      <c r="E50" s="332"/>
      <c r="F50" s="2423"/>
      <c r="G50" s="3677"/>
      <c r="H50" s="2311" t="s">
        <v>2132</v>
      </c>
      <c r="I50" s="2310"/>
      <c r="J50" s="3689" t="s">
        <v>1343</v>
      </c>
      <c r="K50" s="3689"/>
      <c r="L50" s="3689"/>
      <c r="M50" s="3689"/>
      <c r="N50" s="3689"/>
      <c r="O50" s="3689"/>
    </row>
    <row r="51" spans="1:35" ht="20.45" customHeight="1">
      <c r="A51" s="2552"/>
      <c r="B51" s="3606" t="s">
        <v>1344</v>
      </c>
      <c r="C51" s="3606"/>
      <c r="D51" s="1087"/>
      <c r="E51" s="327"/>
      <c r="F51" s="2423"/>
      <c r="G51" s="3678"/>
      <c r="H51" s="2311" t="s">
        <v>2133</v>
      </c>
      <c r="I51" s="2310"/>
      <c r="J51" s="2523" t="s">
        <v>1345</v>
      </c>
      <c r="K51" s="3670" t="s">
        <v>1346</v>
      </c>
      <c r="L51" s="3670"/>
      <c r="M51" s="2523" t="s">
        <v>1347</v>
      </c>
      <c r="N51" s="2523" t="s">
        <v>1348</v>
      </c>
      <c r="O51" s="2523" t="s">
        <v>1349</v>
      </c>
    </row>
    <row r="52" spans="1:35" ht="24" customHeight="1">
      <c r="A52" s="2334" t="s">
        <v>1350</v>
      </c>
      <c r="B52" s="3606" t="s">
        <v>1351</v>
      </c>
      <c r="C52" s="3606"/>
      <c r="D52" s="1087">
        <f ca="1">ROUND(D45*'数据-取费表'!B41/(1+'数据-取费表'!C42),0)</f>
        <v>1452</v>
      </c>
      <c r="E52" s="2333" t="s">
        <v>1352</v>
      </c>
      <c r="F52" s="2553">
        <f>'数据-取费表'!B41</f>
        <v>5.5000000000000007E-2</v>
      </c>
      <c r="G52" s="2554"/>
      <c r="H52" s="2543"/>
      <c r="I52" s="1806"/>
      <c r="J52" s="2522">
        <v>1</v>
      </c>
      <c r="K52" s="3671" t="s">
        <v>1353</v>
      </c>
      <c r="L52" s="3671"/>
      <c r="M52" s="2524">
        <f ca="1">D48</f>
        <v>1452</v>
      </c>
      <c r="N52" s="2522" t="str">
        <f>E48</f>
        <v>销售额×税（费）率</v>
      </c>
      <c r="O52" s="2525">
        <f>F48</f>
        <v>5.5000000000000007E-2</v>
      </c>
      <c r="P52" s="725">
        <f ca="1">M52</f>
        <v>1452</v>
      </c>
    </row>
    <row r="53" spans="1:35" ht="12" customHeight="1">
      <c r="A53" s="2334" t="s">
        <v>1354</v>
      </c>
      <c r="B53" s="3632" t="s">
        <v>2288</v>
      </c>
      <c r="C53" s="3633"/>
      <c r="D53" s="1087">
        <f ca="1">ROUND(D45*'数据-取费表'!B41/(1+'数据-取费表'!C42),0)</f>
        <v>1452</v>
      </c>
      <c r="E53" s="2333" t="s">
        <v>1352</v>
      </c>
      <c r="F53" s="2553">
        <f>'数据-取费表'!B41</f>
        <v>5.5000000000000007E-2</v>
      </c>
      <c r="G53" s="2554"/>
      <c r="H53" s="2543"/>
      <c r="I53" s="1806"/>
      <c r="J53" s="2522">
        <v>2</v>
      </c>
      <c r="K53" s="3671" t="s">
        <v>1355</v>
      </c>
      <c r="L53" s="3671"/>
      <c r="M53" s="2524">
        <f t="shared" ref="M53:O54" ca="1" si="0">D55</f>
        <v>14</v>
      </c>
      <c r="N53" s="2522" t="str">
        <f t="shared" si="0"/>
        <v>销售额×税（费）率</v>
      </c>
      <c r="O53" s="2525">
        <f t="shared" si="0"/>
        <v>5.0000000000000001E-4</v>
      </c>
      <c r="P53" s="725">
        <f ca="1">M53</f>
        <v>14</v>
      </c>
    </row>
    <row r="54" spans="1:35" ht="12" customHeight="1">
      <c r="A54" s="2334" t="s">
        <v>1356</v>
      </c>
      <c r="B54" s="3632" t="s">
        <v>2289</v>
      </c>
      <c r="C54" s="3633"/>
      <c r="D54" s="1087">
        <f ca="1">C68</f>
        <v>1452</v>
      </c>
      <c r="E54" s="327" t="s">
        <v>1357</v>
      </c>
      <c r="F54" s="2553">
        <f>'数据-取费表'!B41</f>
        <v>5.5000000000000007E-2</v>
      </c>
      <c r="G54" s="2554"/>
      <c r="H54" s="2555"/>
      <c r="I54" s="1806"/>
      <c r="J54" s="2522">
        <v>3</v>
      </c>
      <c r="K54" s="3671" t="s">
        <v>1358</v>
      </c>
      <c r="L54" s="3671"/>
      <c r="M54" s="2524">
        <f t="shared" ca="1" si="0"/>
        <v>15715</v>
      </c>
      <c r="N54" s="2522" t="str">
        <f t="shared" si="0"/>
        <v>增值额×税（费）率</v>
      </c>
      <c r="O54" s="2526" t="str">
        <f t="shared" si="0"/>
        <v>——</v>
      </c>
      <c r="P54" s="725">
        <f ca="1">ROUND(D45/1.05*0.05,0)</f>
        <v>1320</v>
      </c>
    </row>
    <row r="55" spans="1:35" ht="24" customHeight="1">
      <c r="A55" s="3621" t="s">
        <v>1359</v>
      </c>
      <c r="B55" s="3622"/>
      <c r="C55" s="3622"/>
      <c r="D55" s="2323">
        <f ca="1">IF(H55="个人住宅",0,ROUND(D45*I55,0))</f>
        <v>14</v>
      </c>
      <c r="E55" s="2333" t="s">
        <v>1360</v>
      </c>
      <c r="F55" s="2553">
        <f>IF(H55="正常",I55,"免征")</f>
        <v>5.0000000000000001E-4</v>
      </c>
      <c r="G55" s="2554"/>
      <c r="H55" s="2549" t="s">
        <v>3616</v>
      </c>
      <c r="I55" s="165">
        <f>'数据-取费表'!B49</f>
        <v>5.0000000000000001E-4</v>
      </c>
      <c r="J55" s="2522" t="str">
        <f>IF(H59="非个人房产","",4)</f>
        <v/>
      </c>
      <c r="K55" s="3671" t="str">
        <f>IF(H59="非个人房产","——","个人所得税")</f>
        <v>——</v>
      </c>
      <c r="L55" s="3671"/>
      <c r="M55" s="2527" t="str">
        <f>D59</f>
        <v>——</v>
      </c>
      <c r="N55" s="2039" t="str">
        <f>E59</f>
        <v>——</v>
      </c>
      <c r="O55" s="2528" t="str">
        <f>F59</f>
        <v>——</v>
      </c>
    </row>
    <row r="56" spans="1:35" ht="24.75">
      <c r="A56" s="3621" t="s">
        <v>1361</v>
      </c>
      <c r="B56" s="3622"/>
      <c r="C56" s="3622"/>
      <c r="D56" s="2323">
        <f ca="1">IF(H56="个人住宅",D57,D58)</f>
        <v>15715</v>
      </c>
      <c r="E56" s="2333" t="s">
        <v>1362</v>
      </c>
      <c r="F56" s="2553" t="str">
        <f>IF(H56="正常",F58,"免征")</f>
        <v>——</v>
      </c>
      <c r="G56" s="2556" t="s">
        <v>1363</v>
      </c>
      <c r="H56" s="2557" t="s">
        <v>3616</v>
      </c>
      <c r="I56" s="1807"/>
      <c r="J56" s="2522" t="str">
        <f>IF(项目基本情况!K6="上海银行",IF(J55="",4,J55+1),"")</f>
        <v/>
      </c>
      <c r="K56" s="3694" t="str">
        <f>IF(项目基本情况!K6="上海银行","其他处置费用","")</f>
        <v/>
      </c>
      <c r="L56" s="3695"/>
      <c r="M56" s="2524" t="str">
        <f>IF(项目基本情况!K6="上海银行",M69,"")</f>
        <v/>
      </c>
      <c r="N56" s="3694" t="str">
        <f>IF(项目基本情况!K6="上海银行","包含处置中涉及的律师、诉讼、拍卖、评估等费用","")</f>
        <v/>
      </c>
      <c r="O56" s="3697"/>
    </row>
    <row r="57" spans="1:35" ht="12.75">
      <c r="A57" s="2334" t="s">
        <v>1339</v>
      </c>
      <c r="B57" s="3632" t="s">
        <v>1364</v>
      </c>
      <c r="C57" s="3633"/>
      <c r="D57" s="1589">
        <v>0</v>
      </c>
      <c r="E57" s="324" t="s">
        <v>1341</v>
      </c>
      <c r="F57" s="302"/>
      <c r="G57" s="2554"/>
      <c r="H57" s="2558"/>
      <c r="I57" s="1807"/>
      <c r="J57" s="3671">
        <f>IF(AND(J55="",J56=""),4,IF(项目基本情况!K6="上海银行",结果表12号楼!J56+1,结果表12号楼!J55+1))</f>
        <v>4</v>
      </c>
      <c r="K57" s="3671" t="s">
        <v>1365</v>
      </c>
      <c r="L57" s="2529" t="s">
        <v>1366</v>
      </c>
      <c r="M57" s="2530"/>
      <c r="N57" s="2531">
        <f ca="1">SUMIF(M52:M56,"&lt;9e307")</f>
        <v>17181</v>
      </c>
      <c r="O57" s="2532"/>
      <c r="P57" s="3515">
        <f ca="1">P54+P52+P53</f>
        <v>2786</v>
      </c>
    </row>
    <row r="58" spans="1:35" ht="24.75">
      <c r="A58" s="2334" t="s">
        <v>1350</v>
      </c>
      <c r="B58" s="3632" t="s">
        <v>1367</v>
      </c>
      <c r="C58" s="3606"/>
      <c r="D58" s="2323">
        <f ca="1">IF(H58="转让取得",C81,C97)</f>
        <v>15715</v>
      </c>
      <c r="E58" s="2333" t="s">
        <v>1362</v>
      </c>
      <c r="F58" s="302" t="s">
        <v>28</v>
      </c>
      <c r="G58" s="2554"/>
      <c r="H58" s="2557" t="s">
        <v>3725</v>
      </c>
      <c r="I58" s="1807"/>
      <c r="J58" s="3671"/>
      <c r="K58" s="3671"/>
      <c r="L58" s="2529" t="s">
        <v>1368</v>
      </c>
      <c r="M58" s="2533"/>
      <c r="N58" s="2534" t="str">
        <f ca="1">NUMBERSTRING(INT(N57*10000),2)&amp;"元整"</f>
        <v>壹亿柒仟壹佰捌拾壹万元整</v>
      </c>
      <c r="O58" s="2535"/>
    </row>
    <row r="59" spans="1:35" ht="24.75" thickBot="1">
      <c r="A59" s="3674" t="s">
        <v>1369</v>
      </c>
      <c r="B59" s="3675"/>
      <c r="C59" s="367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1363</v>
      </c>
      <c r="H59" s="2313" t="s">
        <v>3726</v>
      </c>
      <c r="I59" s="2312" t="s">
        <v>2134</v>
      </c>
      <c r="J59" s="3672">
        <f>J57+1</f>
        <v>5</v>
      </c>
      <c r="K59" s="3671" t="s">
        <v>1370</v>
      </c>
      <c r="L59" s="2522" t="s">
        <v>1366</v>
      </c>
      <c r="M59" s="2536"/>
      <c r="N59" s="2537">
        <f ca="1">M49-N57</f>
        <v>10539</v>
      </c>
      <c r="O59" s="2538"/>
      <c r="P59" s="725">
        <f ca="1">G19-P57</f>
        <v>24934</v>
      </c>
    </row>
    <row r="60" spans="1:35" ht="12" customHeight="1">
      <c r="A60" s="1808"/>
      <c r="B60" s="1746"/>
      <c r="C60" s="1746"/>
      <c r="D60" s="1746"/>
      <c r="E60" s="1577"/>
      <c r="F60" s="1807"/>
      <c r="G60" s="1807"/>
      <c r="H60" s="1809"/>
      <c r="I60" s="129"/>
      <c r="J60" s="3673"/>
      <c r="K60" s="3671"/>
      <c r="L60" s="2529" t="s">
        <v>1368</v>
      </c>
      <c r="M60" s="2533"/>
      <c r="N60" s="2534" t="str">
        <f ca="1">NUMBERSTRING(INT(N59*10000),2)&amp;"元整"</f>
        <v>壹亿零伍佰叁拾玖万元整</v>
      </c>
      <c r="O60" s="2535"/>
    </row>
    <row r="61" spans="1:35" ht="13.5" thickBot="1">
      <c r="A61" s="3619" t="s">
        <v>1371</v>
      </c>
      <c r="B61" s="3619"/>
      <c r="C61" s="3619"/>
      <c r="D61" s="3619"/>
      <c r="E61" s="3619"/>
      <c r="F61" s="1807"/>
      <c r="G61" s="1807"/>
      <c r="H61" s="1809"/>
      <c r="I61" s="129"/>
      <c r="J61" s="2522">
        <f>J59+1</f>
        <v>6</v>
      </c>
      <c r="K61" s="3671" t="s">
        <v>1372</v>
      </c>
      <c r="L61" s="3671"/>
      <c r="M61" s="2539"/>
      <c r="N61" s="2540">
        <f ca="1">ROUND(N59*10000/'数据-汇总表'!E3,0)</f>
        <v>2865</v>
      </c>
      <c r="O61" s="2541"/>
    </row>
    <row r="62" spans="1:35" ht="12.75">
      <c r="A62" s="3637" t="s">
        <v>1373</v>
      </c>
      <c r="B62" s="3638"/>
      <c r="C62" s="2020"/>
      <c r="D62" s="2020" t="s">
        <v>1374</v>
      </c>
      <c r="E62" s="166" t="s">
        <v>1375</v>
      </c>
      <c r="F62" s="1807"/>
      <c r="G62" s="1807"/>
      <c r="H62" s="1809"/>
      <c r="I62" s="129"/>
    </row>
    <row r="63" spans="1:35" ht="12.75">
      <c r="A63" s="173" t="s">
        <v>330</v>
      </c>
      <c r="B63" s="167" t="s">
        <v>1376</v>
      </c>
      <c r="C63" s="2563">
        <f ca="1">ROUND((C64+C65)/(1+'数据-取费表'!C42),0)</f>
        <v>26400</v>
      </c>
      <c r="D63" s="167"/>
      <c r="E63" s="168"/>
      <c r="F63" s="1807"/>
      <c r="G63" s="1807"/>
      <c r="H63" s="1809"/>
      <c r="I63" s="129"/>
      <c r="J63" s="3696" t="s">
        <v>1377</v>
      </c>
      <c r="K63" s="1331" t="s">
        <v>1378</v>
      </c>
      <c r="L63" s="1331">
        <f ca="1">IF(M49&gt;10000,M49*0.5%,IF(AND(M49&gt;1000,M49&lt;=10000),M49*1%,IF(AND(M49&gt;100,M49&lt;=1000),M49*3%,IF(AND(M49&gt;10,M49&lt;=100),M49*5%,M49*8%))))</f>
        <v>138.6</v>
      </c>
      <c r="M63" s="302">
        <f ca="1">ROUND(L63,1)</f>
        <v>138.6</v>
      </c>
      <c r="N63" s="2542"/>
      <c r="Z63" s="1751"/>
      <c r="AI63" s="1752"/>
    </row>
    <row r="64" spans="1:35" ht="14.25" customHeight="1">
      <c r="A64" s="169" t="s">
        <v>325</v>
      </c>
      <c r="B64" s="170" t="s">
        <v>1379</v>
      </c>
      <c r="C64" s="2564">
        <f ca="1">D45</f>
        <v>27720</v>
      </c>
      <c r="D64" s="170" t="s">
        <v>26</v>
      </c>
      <c r="E64" s="172"/>
      <c r="F64" s="1807"/>
      <c r="G64" s="1807"/>
      <c r="H64" s="1809"/>
      <c r="I64" s="129"/>
      <c r="J64" s="3696"/>
      <c r="K64" s="1331" t="s">
        <v>1380</v>
      </c>
      <c r="L64" s="1331">
        <f ca="1">IF(M49&gt;2000,M49*0.5%,IF(AND(M49&gt;1000,M49&lt;=2000),M49*0.6%,IF(AND(M49&gt;500,M49&lt;=1000),M49*0.7%,IF(AND(M49&gt;200,M49&lt;=500),M49*0.8%,IF(AND(M49&gt;100,M49&lt;=200),M49*0.9%,IF(AND(M49&gt;50,M49&lt;=100),M49*1%,IF(AND(M49&gt;20,M49&lt;=50),M49*1.5%,IF(AND(M49&gt;10,M49&lt;=20),M49*2%,IF(AND(M49&gt;1,M49&lt;=10),M49*2.5%)))))))))</f>
        <v>138.6</v>
      </c>
      <c r="M64" s="302">
        <f t="shared" ref="M64:M65" ca="1" si="1">ROUND(L64,1)</f>
        <v>138.6</v>
      </c>
      <c r="N64" s="2543" t="s">
        <v>1381</v>
      </c>
      <c r="Z64" s="1751"/>
      <c r="AI64" s="1752"/>
    </row>
    <row r="65" spans="1:35" ht="14.25" customHeight="1">
      <c r="A65" s="169" t="s">
        <v>326</v>
      </c>
      <c r="B65" s="170" t="s">
        <v>1382</v>
      </c>
      <c r="C65" s="2565"/>
      <c r="D65" s="170"/>
      <c r="E65" s="172"/>
      <c r="F65" s="1807"/>
      <c r="G65" s="1807"/>
      <c r="H65" s="1809"/>
      <c r="I65" s="129"/>
      <c r="J65" s="3696"/>
      <c r="K65" s="1331" t="s">
        <v>1383</v>
      </c>
      <c r="L65" s="1331">
        <f ca="1">IF(M49&gt;1000,M49*0.1%,IF(AND(M49&gt;500,M49&lt;=1000),M49*0.5%,IF(AND(M49&gt;50,M49&lt;=500),M49*1%,IF(AND(M49&gt;1,M49&lt;=50),M49*1.5%))))</f>
        <v>27.72</v>
      </c>
      <c r="M65" s="302">
        <f t="shared" ca="1" si="1"/>
        <v>27.7</v>
      </c>
      <c r="N65" s="2543" t="s">
        <v>1381</v>
      </c>
      <c r="Z65" s="1751"/>
      <c r="AI65" s="1752"/>
    </row>
    <row r="66" spans="1:35" ht="14.25" customHeight="1">
      <c r="A66" s="173" t="s">
        <v>327</v>
      </c>
      <c r="B66" s="174" t="s">
        <v>1384</v>
      </c>
      <c r="C66" s="2566"/>
      <c r="D66" s="174" t="s">
        <v>26</v>
      </c>
      <c r="E66" s="1337" t="s">
        <v>671</v>
      </c>
      <c r="F66" s="1807"/>
      <c r="G66" s="1807"/>
      <c r="H66" s="1809"/>
      <c r="I66" s="129"/>
      <c r="J66" s="3696"/>
      <c r="K66" s="1331" t="s">
        <v>1385</v>
      </c>
      <c r="L66" s="1331">
        <f ca="1">M49*0.5%</f>
        <v>138.6</v>
      </c>
      <c r="M66" s="302">
        <f ca="1">IF(L66&gt;0.5,0.5,ROUND(L66,0))</f>
        <v>0.5</v>
      </c>
      <c r="N66" s="2543" t="s">
        <v>1386</v>
      </c>
      <c r="Z66" s="1751"/>
      <c r="AI66" s="1752"/>
    </row>
    <row r="67" spans="1:35" ht="14.25" customHeight="1">
      <c r="A67" s="173" t="s">
        <v>328</v>
      </c>
      <c r="B67" s="174" t="s">
        <v>1387</v>
      </c>
      <c r="C67" s="2567">
        <f ca="1">C63-C66</f>
        <v>26400</v>
      </c>
      <c r="D67" s="170" t="s">
        <v>26</v>
      </c>
      <c r="E67" s="172"/>
      <c r="F67" s="1807"/>
      <c r="G67" s="1807"/>
      <c r="H67" s="1809"/>
      <c r="I67" s="129"/>
      <c r="J67" s="3696"/>
      <c r="K67" s="1331" t="s">
        <v>1388</v>
      </c>
      <c r="L67" s="1331">
        <f ca="1">IF(M49&gt;=10000,(8.25+(M49-10000)*0.01%),IF(AND(M49&gt;=8000,M49&lt;10000),(7.85+(M49-8000)*0.02%),IF(AND(M49&gt;=5000,M49&lt;8000),(6.65+(M49-5000)*0.04%),IF(AND(M49&gt;=2000,M49&lt;5000),(4.25+(PM49-2000)*0.08%),IF(AND(M49&gt;=1000,M49&lt;2000),(2.75+(M49-1000)*0.15%),IF(AND(M49&gt;=100,M49&lt;1000),(0.5+(M49-100)*0.25%),IF(AND(M49&gt;0,M49&lt;100),M49*0.5%)))))))</f>
        <v>10.022</v>
      </c>
      <c r="M67" s="302">
        <f ca="1">ROUND(L67*0.9,1)</f>
        <v>9</v>
      </c>
      <c r="N67" s="2542"/>
      <c r="Z67" s="1751"/>
      <c r="AI67" s="1752"/>
    </row>
    <row r="68" spans="1:35" ht="14.25" customHeight="1" thickBot="1">
      <c r="A68" s="176" t="s">
        <v>329</v>
      </c>
      <c r="B68" s="177" t="s">
        <v>1389</v>
      </c>
      <c r="C68" s="2568">
        <f ca="1">IF(C67&lt;=0,0,ROUND(C67*D68,0))</f>
        <v>1452</v>
      </c>
      <c r="D68" s="2569">
        <f>'数据-取费表'!B41</f>
        <v>5.5000000000000007E-2</v>
      </c>
      <c r="E68" s="178"/>
      <c r="F68" s="1807"/>
      <c r="G68" s="1807"/>
      <c r="H68" s="1809"/>
      <c r="I68" s="129"/>
      <c r="J68" s="3696"/>
      <c r="K68" s="1331" t="s">
        <v>1390</v>
      </c>
      <c r="L68" s="1331">
        <f ca="1">IF(M49&gt;10000,M49*0.5%,IF(AND(M49&gt;5000,M49&lt;=10000),M49*1%,IF(AND(M49&gt;1000,M49&lt;=5000),M49*2%,IF(AND(M49&gt;200,M49&lt;=1000),M49*3%,M49*5%))))</f>
        <v>138.6</v>
      </c>
      <c r="M68" s="302">
        <f ca="1">ROUND(L68,1)</f>
        <v>138.6</v>
      </c>
      <c r="N68" s="2542"/>
      <c r="Z68" s="1751"/>
      <c r="AI68" s="1752"/>
    </row>
    <row r="69" spans="1:35" s="1771" customFormat="1" ht="16.5" customHeight="1">
      <c r="A69" s="1810"/>
      <c r="B69" s="1811"/>
      <c r="C69" s="1812"/>
      <c r="D69" s="1813"/>
      <c r="E69" s="1814"/>
      <c r="F69" s="1577"/>
      <c r="G69" s="1577"/>
      <c r="H69" s="1576"/>
      <c r="I69" s="1746"/>
      <c r="J69" s="3696"/>
      <c r="K69" s="1331" t="s">
        <v>1391</v>
      </c>
      <c r="L69" s="1331"/>
      <c r="M69" s="302">
        <f ca="1">ROUND(SUM(M63:M68),0)</f>
        <v>453</v>
      </c>
      <c r="N69" s="2544">
        <f ca="1">M69/M49</f>
        <v>1.6341991341991342E-2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8" t="s">
        <v>1392</v>
      </c>
      <c r="B70" s="3659"/>
      <c r="C70" s="3659"/>
      <c r="D70" s="3659"/>
      <c r="E70" s="3659"/>
      <c r="F70" s="3659"/>
      <c r="G70" s="3659"/>
      <c r="H70" s="365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7" t="s">
        <v>1373</v>
      </c>
      <c r="B71" s="3638"/>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26400</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132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2" t="s">
        <v>1400</v>
      </c>
      <c r="F76" s="3606"/>
      <c r="G76" s="3606"/>
      <c r="H76" s="365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132</v>
      </c>
      <c r="D78" s="2576">
        <f>'数据-取费表'!B43</f>
        <v>5.000000000000001E-3</v>
      </c>
      <c r="E78" s="3616" t="s">
        <v>1404</v>
      </c>
      <c r="F78" s="3617"/>
      <c r="G78" s="3617"/>
      <c r="H78" s="362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26268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15715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8" t="s">
        <v>1408</v>
      </c>
      <c r="B83" s="3659"/>
      <c r="C83" s="3659"/>
      <c r="D83" s="3659"/>
      <c r="E83" s="3659"/>
      <c r="F83" s="3659"/>
      <c r="G83" s="3659"/>
      <c r="H83" s="365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1373</v>
      </c>
      <c r="B84" s="3638"/>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26400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132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98" t="s">
        <v>2126</v>
      </c>
      <c r="H90" s="3699"/>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6" t="s">
        <v>1417</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6" t="s">
        <v>1420</v>
      </c>
      <c r="F92" s="3617"/>
      <c r="G92" s="3617"/>
      <c r="H92" s="3626"/>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132</v>
      </c>
      <c r="D93" s="2576">
        <f>'数据-取费表'!B43</f>
        <v>5.000000000000001E-3</v>
      </c>
      <c r="E93" s="3616" t="s">
        <v>1404</v>
      </c>
      <c r="F93" s="3617"/>
      <c r="G93" s="3617"/>
      <c r="H93" s="362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7" t="s">
        <v>1424</v>
      </c>
      <c r="F94" s="3628"/>
      <c r="G94" s="3628"/>
      <c r="H94" s="362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26268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15715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600" t="s">
        <v>1426</v>
      </c>
      <c r="B100" s="3601"/>
      <c r="C100" s="3601"/>
      <c r="D100" s="3618"/>
      <c r="E100" s="3601" t="s">
        <v>1427</v>
      </c>
      <c r="F100" s="3601"/>
      <c r="G100" s="3601"/>
      <c r="H100" s="3618"/>
      <c r="I100" s="129"/>
    </row>
    <row r="101" spans="1:35" ht="18.75" customHeight="1">
      <c r="A101" s="3679" t="s">
        <v>1428</v>
      </c>
      <c r="B101" s="3680"/>
      <c r="C101" s="2584" t="str">
        <f>C4</f>
        <v>比较法-办公12号楼</v>
      </c>
      <c r="D101" s="2585" t="str">
        <f>D4</f>
        <v>收益法12号楼</v>
      </c>
      <c r="E101" s="3693" t="s">
        <v>1429</v>
      </c>
      <c r="F101" s="3650"/>
      <c r="G101" s="1826" t="s">
        <v>1430</v>
      </c>
      <c r="H101" s="2594">
        <f ca="1">H118</f>
        <v>27720</v>
      </c>
      <c r="I101" s="129"/>
    </row>
    <row r="102" spans="1:35" ht="18.75" customHeight="1">
      <c r="A102" s="3652" t="s">
        <v>1431</v>
      </c>
      <c r="B102" s="2583" t="s">
        <v>1430</v>
      </c>
      <c r="C102" s="2584">
        <f ca="1">IF(D32="楼面单价",ROUND(C19,0),C19)</f>
        <v>29610</v>
      </c>
      <c r="D102" s="2585">
        <f ca="1">IF(D32="楼面单价",ROUND(D19,0),D19)</f>
        <v>23311</v>
      </c>
      <c r="E102" s="3693"/>
      <c r="F102" s="3650"/>
      <c r="G102" s="1826" t="s">
        <v>1432</v>
      </c>
      <c r="H102" s="2554">
        <f ca="1">I118</f>
        <v>24130</v>
      </c>
      <c r="I102" s="129"/>
    </row>
    <row r="103" spans="1:35" ht="42.75" customHeight="1">
      <c r="A103" s="3652"/>
      <c r="B103" s="2583" t="s">
        <v>1432</v>
      </c>
      <c r="C103" s="2586">
        <f ca="1">C20</f>
        <v>25775</v>
      </c>
      <c r="D103" s="2587">
        <f ca="1">D20</f>
        <v>20292</v>
      </c>
      <c r="E103" s="3687" t="s">
        <v>1433</v>
      </c>
      <c r="F103" s="3688"/>
      <c r="G103" s="1827" t="s">
        <v>1434</v>
      </c>
      <c r="H103" s="2594">
        <f>IF(D36="正常操作",H104+H105+H106,H105+H106)</f>
        <v>0</v>
      </c>
      <c r="I103" s="129"/>
    </row>
    <row r="104" spans="1:35" ht="18.75" customHeight="1">
      <c r="A104" s="3652" t="s">
        <v>1435</v>
      </c>
      <c r="B104" s="2588" t="s">
        <v>1430</v>
      </c>
      <c r="C104" s="2589">
        <f ca="1">H118</f>
        <v>27720</v>
      </c>
      <c r="D104" s="2590"/>
      <c r="E104" s="1673" t="s">
        <v>1436</v>
      </c>
      <c r="F104" s="1665"/>
      <c r="G104" s="1827" t="s">
        <v>1434</v>
      </c>
      <c r="H104" s="2595">
        <f>IF(D36="同一抵押权人同一抵押物续贷",C36&amp;"（续贷，未扣减，详见特别提示）",C36)</f>
        <v>0</v>
      </c>
      <c r="I104" s="129"/>
    </row>
    <row r="105" spans="1:35" ht="18.75" customHeight="1" thickBot="1">
      <c r="A105" s="3653"/>
      <c r="B105" s="2591" t="s">
        <v>1432</v>
      </c>
      <c r="C105" s="2592">
        <f ca="1">I118</f>
        <v>24130</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9" t="str">
        <f>IF(项目基本情况!E8="已注销","——","3.房地产抵押价值")</f>
        <v>3.房地产抵押价值</v>
      </c>
      <c r="F107" s="3650"/>
      <c r="G107" s="1826" t="s">
        <v>1430</v>
      </c>
      <c r="H107" s="2594">
        <f ca="1">IF(E107="——","——",H101-H103)</f>
        <v>27720</v>
      </c>
      <c r="I107" s="129"/>
    </row>
    <row r="108" spans="1:35" ht="18.75" customHeight="1">
      <c r="A108" s="129"/>
      <c r="B108" s="129"/>
      <c r="C108" s="129"/>
      <c r="D108" s="129"/>
      <c r="E108" s="3649"/>
      <c r="F108" s="3650"/>
      <c r="G108" s="1826" t="s">
        <v>1432</v>
      </c>
      <c r="H108" s="2554">
        <f ca="1">IF(H107=H101,H102,ROUND(H107*10000/'数据-汇总表'!E3,0))</f>
        <v>24130</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50"/>
      <c r="G109" s="1826" t="s">
        <v>1430</v>
      </c>
      <c r="H109" s="2597" t="str">
        <f>IF(E109="——","——",H101-H105-H106)</f>
        <v>——</v>
      </c>
      <c r="I109" s="129"/>
    </row>
    <row r="110" spans="1:35" ht="18.75" customHeight="1">
      <c r="A110" s="129"/>
      <c r="B110" s="129"/>
      <c r="C110" s="129"/>
      <c r="D110" s="129"/>
      <c r="E110" s="3649"/>
      <c r="F110" s="3650"/>
      <c r="G110" s="1826" t="s">
        <v>1432</v>
      </c>
      <c r="H110" s="2554"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4.抵押净值</v>
      </c>
      <c r="F111" s="3651"/>
      <c r="G111" s="1826" t="s">
        <v>1430</v>
      </c>
      <c r="H111" s="2594">
        <f ca="1">IF(E111="——","——",N59)</f>
        <v>10539</v>
      </c>
      <c r="I111" s="129"/>
    </row>
    <row r="112" spans="1:35" ht="18.75" customHeight="1" thickBot="1">
      <c r="A112" s="129"/>
      <c r="B112" s="129"/>
      <c r="C112" s="129"/>
      <c r="D112" s="129"/>
      <c r="E112" s="3682"/>
      <c r="F112" s="3683"/>
      <c r="G112" s="1829" t="s">
        <v>1432</v>
      </c>
      <c r="H112" s="2598">
        <f ca="1">IF(E111="——","——",N61)</f>
        <v>2865</v>
      </c>
      <c r="I112" s="129"/>
    </row>
    <row r="113" spans="1:27" ht="18.75" customHeight="1">
      <c r="A113" s="129"/>
      <c r="B113" s="129"/>
      <c r="C113" s="129"/>
      <c r="D113" s="129"/>
      <c r="E113" s="3654" t="s">
        <v>1438</v>
      </c>
      <c r="F113" s="3654"/>
      <c r="G113" s="3654"/>
      <c r="H113" s="3654"/>
      <c r="I113" s="129"/>
    </row>
    <row r="114" spans="1:27" ht="3.75" customHeight="1">
      <c r="A114" s="1746"/>
      <c r="B114" s="1746"/>
      <c r="C114" s="1746"/>
      <c r="D114" s="1746"/>
      <c r="E114" s="1808"/>
      <c r="F114" s="1808"/>
      <c r="G114" s="1808"/>
      <c r="H114" s="1808"/>
      <c r="I114" s="1746"/>
    </row>
    <row r="115" spans="1:27" ht="18.75" customHeight="1">
      <c r="A115" s="3664" t="s">
        <v>1440</v>
      </c>
      <c r="B115" s="3665"/>
      <c r="C115" s="3665"/>
      <c r="D115" s="3665"/>
      <c r="E115" s="3665"/>
      <c r="F115" s="3665"/>
      <c r="G115" s="3665"/>
      <c r="H115" s="3665"/>
      <c r="I115" s="3666"/>
    </row>
    <row r="116" spans="1:27" ht="27" customHeight="1">
      <c r="A116" s="3620" t="s">
        <v>1441</v>
      </c>
      <c r="B116" s="3655" t="s">
        <v>1442</v>
      </c>
      <c r="C116" s="3655" t="s">
        <v>1443</v>
      </c>
      <c r="D116" s="3668" t="s">
        <v>1444</v>
      </c>
      <c r="E116" s="3669"/>
      <c r="F116" s="3663" t="s">
        <v>3622</v>
      </c>
      <c r="G116" s="3663"/>
      <c r="H116" s="3620" t="s">
        <v>1445</v>
      </c>
      <c r="I116" s="3620"/>
    </row>
    <row r="117" spans="1:27" ht="18.75" customHeight="1">
      <c r="A117" s="3620"/>
      <c r="B117" s="3656"/>
      <c r="C117" s="3656"/>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11487.92</v>
      </c>
      <c r="C118" s="2328">
        <f>M19</f>
        <v>5422.86</v>
      </c>
      <c r="D118" s="2328">
        <f ca="1">ROUND(IF(D32="总价",C34,E118*B118/10000),0)</f>
        <v>15523</v>
      </c>
      <c r="E118" s="2328">
        <f ca="1">ROUND(IF(C33="自定义",IF(D32="楼面单价",C34,D118*10000/B118),I118-G118),0)</f>
        <v>13513</v>
      </c>
      <c r="F118" s="2328">
        <f ca="1">ROUND(IF(D32="总价",C35,G118*B118/10000),0)</f>
        <v>12197</v>
      </c>
      <c r="G118" s="2328">
        <f ca="1">ROUND(IF(D32="楼面单价",C35,F118*10000/B118),0)</f>
        <v>10617</v>
      </c>
      <c r="H118" s="2328">
        <f ca="1">ROUND(IF(D32="总价",C32,I118*B118/10000),0)</f>
        <v>27720</v>
      </c>
      <c r="I118" s="2328">
        <f ca="1">ROUND(IF(D32="楼面单价",C32,H118*10000/B118),0)</f>
        <v>24130</v>
      </c>
      <c r="K118" s="725">
        <f ca="1">D118/(C118/666.67)</f>
        <v>1908.3506507636193</v>
      </c>
    </row>
    <row r="119" spans="1:27" ht="18.75" customHeight="1">
      <c r="A119" s="3620" t="s">
        <v>1449</v>
      </c>
      <c r="B119" s="3620"/>
      <c r="C119" s="3620"/>
      <c r="D119" s="3660" t="str">
        <f ca="1">NUMBERSTRING(INT(D118*10000),2)&amp;"元整"</f>
        <v>壹亿伍仟伍佰贰拾叁万元整</v>
      </c>
      <c r="E119" s="3662"/>
      <c r="F119" s="3660" t="str">
        <f ca="1">NUMBERSTRING(INT(F118*10000),2)&amp;"元整"</f>
        <v>壹亿贰仟壹佰玖拾柒万元整</v>
      </c>
      <c r="G119" s="3662"/>
      <c r="H119" s="3660" t="str">
        <f ca="1">NUMBERSTRING(INT(H118*10000),2)&amp;"元整"</f>
        <v>贰亿柒仟柒佰贰拾万元整</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0" t="s">
        <v>1449</v>
      </c>
      <c r="B121" s="3661"/>
      <c r="C121" s="3662"/>
      <c r="D121" s="3660" t="str">
        <f>IF(D120=0,"零元整",NUMBERSTRING(INT(D120*10000),2)&amp;"元整")</f>
        <v>零元整</v>
      </c>
      <c r="E121" s="3661"/>
      <c r="F121" s="3661"/>
      <c r="G121" s="3661"/>
      <c r="H121" s="3661"/>
      <c r="I121" s="3662"/>
      <c r="AA121" s="725"/>
    </row>
    <row r="122" spans="1:27" ht="18.75" customHeight="1">
      <c r="A122" s="3651" t="str">
        <f>IF(项目基本情况!B9="房地产市场价值","",MID(E107,3,LEN(E107)-2))</f>
        <v>房地产抵押价值</v>
      </c>
      <c r="B122" s="3651"/>
      <c r="C122" s="3651"/>
      <c r="D122" s="3684">
        <f ca="1">H107</f>
        <v>27720</v>
      </c>
      <c r="E122" s="3685"/>
      <c r="F122" s="3685"/>
      <c r="G122" s="3685"/>
      <c r="H122" s="3685"/>
      <c r="I122" s="3686"/>
      <c r="AA122" s="725"/>
    </row>
    <row r="123" spans="1:27" ht="18.75" customHeight="1">
      <c r="A123" s="3620" t="s">
        <v>1449</v>
      </c>
      <c r="B123" s="3620"/>
      <c r="C123" s="3620"/>
      <c r="D123" s="3660" t="str">
        <f ca="1">NUMBERSTRING(INT(D122*10000),2)&amp;"元整"</f>
        <v>贰亿柒仟柒佰贰拾万元整</v>
      </c>
      <c r="E123" s="3661"/>
      <c r="F123" s="3661"/>
      <c r="G123" s="3661"/>
      <c r="H123" s="3661"/>
      <c r="I123" s="3662"/>
      <c r="AA123" s="725"/>
    </row>
    <row r="124" spans="1:27" ht="18.75" customHeight="1">
      <c r="A124" s="3651" t="str">
        <f>IF(项目基本情况!B9="房地产市场价值","",MID(E109,3,LEN(E109)-2))</f>
        <v/>
      </c>
      <c r="B124" s="3651"/>
      <c r="C124" s="3651"/>
      <c r="D124" s="3684" t="str">
        <f>H109</f>
        <v>——</v>
      </c>
      <c r="E124" s="3685"/>
      <c r="F124" s="3685"/>
      <c r="G124" s="3685"/>
      <c r="H124" s="3685"/>
      <c r="I124" s="3686"/>
      <c r="AA124" s="725"/>
    </row>
    <row r="125" spans="1:27" ht="18.75" customHeight="1">
      <c r="A125" s="3620" t="s">
        <v>1449</v>
      </c>
      <c r="B125" s="3620"/>
      <c r="C125" s="3620"/>
      <c r="D125" s="3660" t="e">
        <f>NUMBERSTRING(INT(D124*10000),2)&amp;"元整"</f>
        <v>#VALUE!</v>
      </c>
      <c r="E125" s="3661"/>
      <c r="F125" s="3661"/>
      <c r="G125" s="3661"/>
      <c r="H125" s="3661"/>
      <c r="I125" s="3662"/>
      <c r="AA125" s="725"/>
    </row>
    <row r="126" spans="1:27" ht="18.75" customHeight="1">
      <c r="A126" s="3651" t="str">
        <f>IF(项目基本情况!B9="房地产市场价值","",MID(E111,3,LEN(E111)-2))</f>
        <v>抵押净值</v>
      </c>
      <c r="B126" s="3651"/>
      <c r="C126" s="3651"/>
      <c r="D126" s="3684">
        <f ca="1">H111</f>
        <v>10539</v>
      </c>
      <c r="E126" s="3685"/>
      <c r="F126" s="3685"/>
      <c r="G126" s="3685"/>
      <c r="H126" s="3685"/>
      <c r="I126" s="3686"/>
      <c r="AA126" s="725"/>
    </row>
    <row r="127" spans="1:27" ht="18.75" customHeight="1">
      <c r="A127" s="3620" t="s">
        <v>1449</v>
      </c>
      <c r="B127" s="3620"/>
      <c r="C127" s="3620"/>
      <c r="D127" s="3660" t="str">
        <f ca="1">NUMBERSTRING(INT(D126*10000),2)&amp;"元整"</f>
        <v>壹亿零伍佰叁拾玖万元整</v>
      </c>
      <c r="E127" s="3661"/>
      <c r="F127" s="3661"/>
      <c r="G127" s="3661"/>
      <c r="H127" s="3661"/>
      <c r="I127" s="3662"/>
      <c r="AA127" s="725"/>
    </row>
    <row r="128" spans="1:27" ht="21.75" customHeight="1">
      <c r="A128" s="3667" t="s">
        <v>1450</v>
      </c>
      <c r="B128" s="3667"/>
      <c r="C128" s="3667"/>
      <c r="D128" s="3667"/>
      <c r="E128" s="3667"/>
      <c r="F128" s="3667"/>
      <c r="G128" s="3667"/>
      <c r="H128" s="3667"/>
      <c r="I128" s="366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8" sqref="D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8</v>
      </c>
    </row>
    <row r="2" spans="1:9" s="200" customFormat="1" ht="18" customHeight="1">
      <c r="A2" s="201" t="s">
        <v>1459</v>
      </c>
      <c r="B2" s="202">
        <f ca="1">IF(D2="——",C52,C52-E2)</f>
        <v>50007</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13596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17686</v>
      </c>
      <c r="D5" s="211" t="s">
        <v>1466</v>
      </c>
      <c r="E5" s="212" t="s">
        <v>1467</v>
      </c>
      <c r="F5" s="212" t="s">
        <v>1468</v>
      </c>
      <c r="G5" s="213"/>
    </row>
    <row r="6" spans="1:9" s="214" customFormat="1" ht="13.5" customHeight="1">
      <c r="A6" s="778" t="s">
        <v>1469</v>
      </c>
      <c r="B6" s="215" t="s">
        <v>1470</v>
      </c>
      <c r="C6" s="216">
        <f>'土地比较法-住宅、综合'!B2</f>
        <v>17163</v>
      </c>
      <c r="D6" s="217"/>
      <c r="E6" s="218"/>
      <c r="F6" s="218"/>
      <c r="G6" s="219"/>
    </row>
    <row r="7" spans="1:9" s="214" customFormat="1" ht="13.5" customHeight="1">
      <c r="A7" s="778" t="s">
        <v>1471</v>
      </c>
      <c r="B7" s="215" t="s">
        <v>1472</v>
      </c>
      <c r="C7" s="220">
        <f>ROUND(C6*F7,0)</f>
        <v>523</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5" t="s">
        <v>3397</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t="s">
        <v>3398</v>
      </c>
      <c r="H9" s="1137"/>
      <c r="I9" s="1857"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36780.86</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36780.86</v>
      </c>
      <c r="E19" s="211">
        <f>'数据-取费表'!B31</f>
        <v>200</v>
      </c>
      <c r="F19" s="231"/>
      <c r="G19" s="1855" t="s">
        <v>3399</v>
      </c>
    </row>
    <row r="20" spans="1:7" s="214" customFormat="1" ht="13.5" customHeight="1">
      <c r="A20" s="255" t="s">
        <v>1490</v>
      </c>
      <c r="B20" s="210" t="s">
        <v>1491</v>
      </c>
      <c r="C20" s="232">
        <f>ROUND((C5+C19)*F20,0)</f>
        <v>354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1241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2345</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ROUND((C5+C19+C20)*F27*'数据-取费表'!B21/'数据-取费表'!B20,0)</f>
        <v>2345</v>
      </c>
      <c r="D28" s="235"/>
      <c r="E28" s="236"/>
      <c r="F28" s="246"/>
      <c r="G28" s="247"/>
    </row>
    <row r="29" spans="1:7" s="214" customFormat="1" ht="13.5" customHeight="1">
      <c r="A29" s="780" t="s">
        <v>347</v>
      </c>
      <c r="B29" s="248" t="s">
        <v>1514</v>
      </c>
      <c r="C29" s="238">
        <f ca="1">ROUND(C21*F27*'数据-取费表'!B21/'数据-取费表'!B20,4)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23410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24349</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22069</v>
      </c>
      <c r="D34" s="217"/>
      <c r="E34" s="220"/>
      <c r="F34" s="257">
        <f ca="1">IF('数据-取费表'!B24=0,1,IF(B1="",'数据-取费表'!N16,INDIRECT("'数据-取费表'!n"&amp;$G$1)))</f>
        <v>1</v>
      </c>
      <c r="G34" s="219" t="s">
        <v>1523</v>
      </c>
    </row>
    <row r="35" spans="1:7" ht="13.5" customHeight="1">
      <c r="A35" s="780" t="s">
        <v>351</v>
      </c>
      <c r="B35" s="215" t="s">
        <v>1524</v>
      </c>
      <c r="C35" s="220">
        <f ca="1">ROUND(C34*F35,0)</f>
        <v>1103</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736</v>
      </c>
      <c r="D37" s="217">
        <f ca="1">D19</f>
        <v>36780.86</v>
      </c>
      <c r="E37" s="249">
        <f>'数据-取费表'!B35</f>
        <v>200</v>
      </c>
      <c r="F37" s="259"/>
      <c r="G37" s="261" t="s">
        <v>1529</v>
      </c>
    </row>
    <row r="38" spans="1:7" ht="13.5" customHeight="1">
      <c r="A38" s="780" t="s">
        <v>354</v>
      </c>
      <c r="B38" s="215" t="s">
        <v>1530</v>
      </c>
      <c r="C38" s="220">
        <f ca="1">ROUND(C34*F38,0)</f>
        <v>441</v>
      </c>
      <c r="D38" s="220"/>
      <c r="E38" s="220"/>
      <c r="F38" s="259">
        <f>'数据-取费表'!B36</f>
        <v>0.02</v>
      </c>
      <c r="G38" s="219" t="s">
        <v>1525</v>
      </c>
    </row>
    <row r="39" spans="1:7" s="214" customFormat="1" ht="13.5" customHeight="1">
      <c r="A39" s="255" t="s">
        <v>1531</v>
      </c>
      <c r="B39" s="210" t="s">
        <v>1532</v>
      </c>
      <c r="C39" s="232">
        <f ca="1">ROUND(C33*F20,0)</f>
        <v>487</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857</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840</v>
      </c>
      <c r="D42" s="238"/>
      <c r="E42" s="238"/>
      <c r="F42" s="239"/>
      <c r="G42" s="3700" t="s">
        <v>1541</v>
      </c>
    </row>
    <row r="43" spans="1:7" ht="13.5" customHeight="1">
      <c r="A43" s="780" t="s">
        <v>347</v>
      </c>
      <c r="B43" s="215" t="s">
        <v>1542</v>
      </c>
      <c r="C43" s="238">
        <f ca="1">ROUND(IF('数据-取费表'!B22&lt;=1,C39*F22*'数据-取费表'!B21/2,C39*(POWER((1+F22),'数据-取费表'!B21/2)-1)),0)</f>
        <v>17</v>
      </c>
      <c r="D43" s="238"/>
      <c r="E43" s="238"/>
      <c r="F43" s="239"/>
      <c r="G43" s="3701"/>
    </row>
    <row r="44" spans="1:7" ht="13.5" customHeight="1">
      <c r="A44" s="780" t="s">
        <v>348</v>
      </c>
      <c r="B44" s="215" t="s">
        <v>1543</v>
      </c>
      <c r="C44" s="238">
        <f ca="1">ROUND(IF('数据-取费表'!B22&lt;=1,C40*F22*'数据-取费表'!B21/2,C40*(POWER((1+F22),'数据-取费表'!B21/2)-1)),4)</f>
        <v>6.9999999999999999E-4</v>
      </c>
      <c r="D44" s="238"/>
      <c r="E44" s="238"/>
      <c r="F44" s="239"/>
      <c r="G44" s="3702"/>
    </row>
    <row r="45" spans="1:7" s="214" customFormat="1" ht="13.5" customHeight="1">
      <c r="A45" s="255" t="s">
        <v>1544</v>
      </c>
      <c r="B45" s="244" t="s">
        <v>1510</v>
      </c>
      <c r="C45" s="245">
        <f ca="1">C46</f>
        <v>3229</v>
      </c>
      <c r="D45" s="235">
        <f ca="1">C47</f>
        <v>2.5999999999999999E-3</v>
      </c>
      <c r="E45" s="236" t="s">
        <v>1536</v>
      </c>
      <c r="F45" s="246">
        <f ca="1">F27</f>
        <v>0.13</v>
      </c>
      <c r="G45" s="247" t="s">
        <v>1545</v>
      </c>
    </row>
    <row r="46" spans="1:7" s="214" customFormat="1" ht="13.5" customHeight="1">
      <c r="A46" s="780" t="s">
        <v>346</v>
      </c>
      <c r="B46" s="248" t="s">
        <v>1546</v>
      </c>
      <c r="C46" s="249">
        <f ca="1">ROUND((C33+C39)*F27,0)</f>
        <v>3229</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31291</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26597</v>
      </c>
      <c r="D51" s="232"/>
      <c r="E51" s="232"/>
      <c r="F51" s="264"/>
      <c r="G51" s="234" t="s">
        <v>1557</v>
      </c>
    </row>
    <row r="52" spans="1:7" s="208" customFormat="1" ht="16.5" thickBot="1">
      <c r="A52" s="265" t="s">
        <v>1558</v>
      </c>
      <c r="B52" s="266"/>
      <c r="C52" s="267">
        <f ca="1">C31+C51</f>
        <v>50007</v>
      </c>
      <c r="D52" s="266"/>
      <c r="E52" s="266"/>
      <c r="F52" s="266"/>
      <c r="G52" s="268"/>
    </row>
    <row r="55" spans="1:7" ht="15">
      <c r="B55" s="270" t="s">
        <v>1559</v>
      </c>
      <c r="C55" s="271"/>
    </row>
    <row r="56" spans="1:7">
      <c r="B56" s="273" t="s">
        <v>802</v>
      </c>
      <c r="C56" s="275">
        <f ca="1">1-C57</f>
        <v>0.46799999999999997</v>
      </c>
    </row>
    <row r="57" spans="1:7">
      <c r="B57" s="273" t="s">
        <v>803</v>
      </c>
      <c r="C57" s="274">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7" t="str">
        <f>项目基本情况!B1</f>
        <v>北京市房地产抵押价值预评估</v>
      </c>
      <c r="C37" s="3517"/>
      <c r="D37" s="3517"/>
      <c r="E37" s="3517"/>
      <c r="F37" s="3517"/>
      <c r="G37" s="3517"/>
      <c r="H37" s="3517"/>
      <c r="I37" s="351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8</v>
      </c>
      <c r="H1" s="1061" t="str">
        <f>IF(ISERROR(FIND("住宅",B1)),"非住宅","住宅")</f>
        <v>非住宅</v>
      </c>
    </row>
    <row r="2" spans="1:8" s="200" customFormat="1" ht="18" customHeight="1">
      <c r="A2" s="201" t="s">
        <v>1459</v>
      </c>
      <c r="B2" s="3422">
        <f ca="1">ROUND(IF(D2="——",C52/10000,C52/10000-E2),4)</f>
        <v>27570.286400000001</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7496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36780.86</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7356172</v>
      </c>
      <c r="D19" s="849">
        <f ca="1">D9+D10</f>
        <v>36780.86</v>
      </c>
      <c r="E19" s="211">
        <f>'数据-取费表'!B31</f>
        <v>200</v>
      </c>
      <c r="F19" s="231"/>
      <c r="G19" s="1855"/>
    </row>
    <row r="20" spans="1:7" s="214" customFormat="1" ht="13.5" customHeight="1">
      <c r="A20" s="255" t="s">
        <v>1571</v>
      </c>
      <c r="B20" s="210" t="s">
        <v>1572</v>
      </c>
      <c r="C20" s="232">
        <f ca="1">ROUND((C5+C19)*F20,0)</f>
        <v>147123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521408</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516332</v>
      </c>
      <c r="D24" s="238"/>
      <c r="E24" s="238"/>
      <c r="F24" s="239"/>
      <c r="G24" s="240" t="s">
        <v>1583</v>
      </c>
    </row>
    <row r="25" spans="1:7" s="214" customFormat="1" ht="24">
      <c r="A25" s="780" t="s">
        <v>1473</v>
      </c>
      <c r="B25" s="215" t="s">
        <v>1584</v>
      </c>
      <c r="C25" s="1128">
        <f ca="1">ROUND(IF('数据-取费表'!B22&lt;=1,C20*F22*'数据-取费表'!B22/2,C20*(POWER((1+F22),'数据-取费表'!B22/2)-1)),0)</f>
        <v>5076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975428</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ROUND((C5+C19+C20)*F27,0)</f>
        <v>975428</v>
      </c>
      <c r="D28" s="235"/>
      <c r="E28" s="236"/>
      <c r="F28" s="246"/>
      <c r="G28" s="247"/>
    </row>
    <row r="29" spans="1:7" s="214" customFormat="1" ht="13.5" customHeight="1">
      <c r="A29" s="780" t="s">
        <v>347</v>
      </c>
      <c r="B29" s="248" t="s">
        <v>1514</v>
      </c>
      <c r="C29" s="238">
        <f ca="1">ROUND(C21*F27,4)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9737240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243489293</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220685160</v>
      </c>
      <c r="D34" s="217"/>
      <c r="E34" s="220"/>
      <c r="F34" s="257"/>
      <c r="G34" s="219"/>
    </row>
    <row r="35" spans="1:7" ht="13.5" customHeight="1">
      <c r="A35" s="780" t="s">
        <v>351</v>
      </c>
      <c r="B35" s="215" t="s">
        <v>1524</v>
      </c>
      <c r="C35" s="220">
        <f ca="1">ROUND(C34*F35,0)</f>
        <v>11034258</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7356172</v>
      </c>
      <c r="D37" s="217">
        <f ca="1">D19</f>
        <v>36780.86</v>
      </c>
      <c r="E37" s="249">
        <f>'数据-取费表'!B35</f>
        <v>200</v>
      </c>
      <c r="F37" s="259"/>
      <c r="G37" s="261"/>
    </row>
    <row r="38" spans="1:7" ht="13.5" customHeight="1">
      <c r="A38" s="780" t="s">
        <v>354</v>
      </c>
      <c r="B38" s="215" t="s">
        <v>1530</v>
      </c>
      <c r="C38" s="220">
        <f ca="1">ROUND(C34*F38,0)</f>
        <v>4413703</v>
      </c>
      <c r="D38" s="220"/>
      <c r="E38" s="220"/>
      <c r="F38" s="259">
        <f>'数据-取费表'!B36</f>
        <v>0.02</v>
      </c>
      <c r="G38" s="219" t="s">
        <v>1525</v>
      </c>
    </row>
    <row r="39" spans="1:7" s="214" customFormat="1" ht="13.5" customHeight="1">
      <c r="A39" s="255" t="s">
        <v>1531</v>
      </c>
      <c r="B39" s="210" t="s">
        <v>1532</v>
      </c>
      <c r="C39" s="232">
        <f ca="1">ROUND(C33*F20,0)</f>
        <v>4869786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8568389</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8400381</v>
      </c>
      <c r="D42" s="238"/>
      <c r="E42" s="238"/>
      <c r="F42" s="239"/>
      <c r="G42" s="3700" t="s">
        <v>1588</v>
      </c>
    </row>
    <row r="43" spans="1:7" ht="13.5" customHeight="1">
      <c r="A43" s="780" t="s">
        <v>347</v>
      </c>
      <c r="B43" s="215" t="s">
        <v>1542</v>
      </c>
      <c r="C43" s="238">
        <f ca="1">ROUND(IF('数据-取费表'!B22&lt;=1,C39*F22*'数据-取费表'!B20/2,C39*(POWER((1+F22),'数据-取费表'!B20/2)-1)),0)</f>
        <v>168008</v>
      </c>
      <c r="D43" s="238"/>
      <c r="E43" s="238"/>
      <c r="F43" s="239"/>
      <c r="G43" s="3701"/>
    </row>
    <row r="44" spans="1:7" ht="13.5" customHeight="1">
      <c r="A44" s="780" t="s">
        <v>348</v>
      </c>
      <c r="B44" s="215" t="s">
        <v>1543</v>
      </c>
      <c r="C44" s="238">
        <f ca="1">ROUND(IF('数据-取费表'!B22&lt;=1,C40*F22*'数据-取费表'!B20/2,C40*(POWER((1+F22),'数据-取费表'!B20/2)-1)),4)</f>
        <v>6.9999999999999999E-4</v>
      </c>
      <c r="D44" s="238"/>
      <c r="E44" s="238"/>
      <c r="F44" s="239"/>
      <c r="G44" s="3702"/>
    </row>
    <row r="45" spans="1:7" s="214" customFormat="1" ht="13.5" customHeight="1">
      <c r="A45" s="255" t="s">
        <v>1544</v>
      </c>
      <c r="B45" s="244" t="s">
        <v>1510</v>
      </c>
      <c r="C45" s="245">
        <f ca="1">C46</f>
        <v>32286680</v>
      </c>
      <c r="D45" s="235">
        <f ca="1">C47</f>
        <v>2.5999999999999999E-3</v>
      </c>
      <c r="E45" s="236" t="s">
        <v>1536</v>
      </c>
      <c r="F45" s="246">
        <f ca="1">F27</f>
        <v>0.13</v>
      </c>
      <c r="G45" s="247" t="s">
        <v>1545</v>
      </c>
    </row>
    <row r="46" spans="1:7" s="214" customFormat="1" ht="13.5" customHeight="1">
      <c r="A46" s="780" t="s">
        <v>346</v>
      </c>
      <c r="B46" s="248" t="s">
        <v>1546</v>
      </c>
      <c r="C46" s="249">
        <f ca="1">ROUND((C33+C39)*F27,0)</f>
        <v>32286680</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312900734</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265965624</v>
      </c>
      <c r="D51" s="232"/>
      <c r="E51" s="232"/>
      <c r="F51" s="264"/>
      <c r="G51" s="234" t="s">
        <v>1557</v>
      </c>
    </row>
    <row r="52" spans="1:7" s="208" customFormat="1" ht="16.5" thickBot="1">
      <c r="A52" s="265" t="s">
        <v>1558</v>
      </c>
      <c r="B52" s="266"/>
      <c r="C52" s="267">
        <f ca="1">C31+C51</f>
        <v>275702864</v>
      </c>
      <c r="D52" s="266"/>
      <c r="E52" s="266"/>
      <c r="F52" s="266"/>
      <c r="G52" s="268"/>
    </row>
    <row r="55" spans="1:7" ht="15">
      <c r="B55" s="270" t="s">
        <v>1559</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4"/>
      <c r="F1" s="2804"/>
      <c r="G1" s="2670"/>
      <c r="H1" s="2804"/>
      <c r="I1" s="2804"/>
      <c r="J1" s="2804"/>
      <c r="K1" s="2805">
        <f>MATCH(C1,'数据-取费表'!A6:A16,0)+5</f>
        <v>8</v>
      </c>
    </row>
    <row r="2" spans="1:33" ht="18" customHeight="1">
      <c r="A2" s="201" t="s">
        <v>1459</v>
      </c>
      <c r="B2" s="204">
        <f ca="1">C32</f>
        <v>0</v>
      </c>
      <c r="C2" s="276" t="s">
        <v>1592</v>
      </c>
      <c r="D2" s="276"/>
      <c r="E2" s="2804"/>
      <c r="F2" s="2804"/>
      <c r="G2" s="2804"/>
      <c r="H2" s="2804"/>
      <c r="I2" s="2804"/>
      <c r="J2" s="2804"/>
      <c r="K2" s="2804"/>
    </row>
    <row r="3" spans="1:33" ht="18" customHeight="1" thickBot="1">
      <c r="A3" s="203" t="s">
        <v>1461</v>
      </c>
      <c r="B3" s="204">
        <f ca="1">ROUND(B2*10000/IF(C1="",'数据-汇总表'!E3,INDIRECT("'数据-取费表'!K"&amp;$K$1)),0)</f>
        <v>0</v>
      </c>
      <c r="C3" s="276" t="s">
        <v>1593</v>
      </c>
      <c r="D3" s="276"/>
      <c r="E3" s="2804"/>
      <c r="F3" s="2804"/>
      <c r="G3" s="2804"/>
      <c r="H3" s="2804"/>
      <c r="I3" s="2804"/>
      <c r="J3" s="2804"/>
      <c r="K3" s="2804"/>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36780.86</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36780.86</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36780.86</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3" sqref="I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3645</v>
      </c>
      <c r="D1" s="1361" t="s">
        <v>43</v>
      </c>
      <c r="E1" s="1362" t="s">
        <v>678</v>
      </c>
      <c r="F1" s="1062">
        <f ca="1">J53</f>
        <v>26.7</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23311</v>
      </c>
      <c r="C2" s="1386" t="s">
        <v>805</v>
      </c>
      <c r="D2" s="1386"/>
      <c r="E2" s="1387"/>
      <c r="F2" s="1388"/>
      <c r="G2" s="2704"/>
      <c r="H2" s="2693"/>
      <c r="I2" s="2693"/>
      <c r="J2" s="2693"/>
      <c r="K2" s="2694"/>
      <c r="L2" s="2693"/>
      <c r="M2" s="2693"/>
    </row>
    <row r="3" spans="1:37" ht="18" customHeight="1" thickBot="1">
      <c r="A3" s="1389" t="s">
        <v>806</v>
      </c>
      <c r="B3" s="1390">
        <f ca="1">IF(ISERROR(B2*10000/F43),0,ROUND(B2*10000/F43,0))</f>
        <v>20292</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1694</v>
      </c>
      <c r="D5" s="1363" t="s">
        <v>693</v>
      </c>
      <c r="E5" s="1071"/>
      <c r="F5" s="1072"/>
      <c r="G5" s="1383"/>
      <c r="H5" s="299">
        <v>1</v>
      </c>
      <c r="I5" s="300" t="s">
        <v>692</v>
      </c>
      <c r="J5" s="1070">
        <f ca="1">J6+J10+J12</f>
        <v>1763</v>
      </c>
      <c r="K5" s="1363" t="s">
        <v>693</v>
      </c>
      <c r="L5" s="1071"/>
      <c r="M5" s="1072"/>
    </row>
    <row r="6" spans="1:37" ht="18" customHeight="1">
      <c r="A6" s="1069" t="s">
        <v>398</v>
      </c>
      <c r="B6" s="3705" t="s">
        <v>694</v>
      </c>
      <c r="C6" s="1074">
        <f ca="1">ROUND(F6*F8*F7*(1-F9)/10000,0)</f>
        <v>1694</v>
      </c>
      <c r="D6" s="155" t="s">
        <v>2106</v>
      </c>
      <c r="E6" s="302" t="s">
        <v>696</v>
      </c>
      <c r="F6" s="303">
        <f ca="1">INDIRECT("'数据-取费表'!u"&amp;$G$1)</f>
        <v>4.04</v>
      </c>
      <c r="G6" s="1383"/>
      <c r="H6" s="1069" t="s">
        <v>398</v>
      </c>
      <c r="I6" s="3705" t="s">
        <v>694</v>
      </c>
      <c r="J6" s="301">
        <f ca="1">ROUND(M6*M8*M7*(1-M9)/10000,0)</f>
        <v>1761</v>
      </c>
      <c r="K6" s="155" t="s">
        <v>2105</v>
      </c>
      <c r="L6" s="302" t="s">
        <v>696</v>
      </c>
      <c r="M6" s="303">
        <f ca="1">INDIRECT("'数据-取费表'!z"&amp;$G$1)</f>
        <v>4.42</v>
      </c>
    </row>
    <row r="7" spans="1:37" ht="18" customHeight="1">
      <c r="A7" s="1073"/>
      <c r="B7" s="3706"/>
      <c r="C7" s="1075"/>
      <c r="D7" s="307"/>
      <c r="E7" s="1076" t="s">
        <v>697</v>
      </c>
      <c r="F7" s="303">
        <f ca="1">IF(INDIRECT("'数据-取费表'!ah"&amp;$G$1)="",INDIRECT("'数据-取费表'!k"&amp;$G$1),INDIRECT("'数据-取费表'!ah"&amp;$G$1))</f>
        <v>11487.92</v>
      </c>
      <c r="G7" s="1383"/>
      <c r="H7" s="304"/>
      <c r="I7" s="3706"/>
      <c r="J7" s="306"/>
      <c r="K7" s="307"/>
      <c r="L7" s="302" t="s">
        <v>697</v>
      </c>
      <c r="M7" s="303">
        <f ca="1">F7</f>
        <v>11487.92</v>
      </c>
    </row>
    <row r="8" spans="1:37" ht="18" customHeight="1">
      <c r="A8" s="304"/>
      <c r="B8" s="3706"/>
      <c r="C8" s="306"/>
      <c r="D8" s="307"/>
      <c r="E8" s="302" t="s">
        <v>698</v>
      </c>
      <c r="F8" s="303">
        <f ca="1">INDIRECT("'数据-取费表'!ai"&amp;$G$1)</f>
        <v>365</v>
      </c>
      <c r="G8" s="1383"/>
      <c r="H8" s="304"/>
      <c r="I8" s="3706"/>
      <c r="J8" s="306"/>
      <c r="K8" s="307"/>
      <c r="L8" s="302" t="s">
        <v>698</v>
      </c>
      <c r="M8" s="303">
        <f ca="1">INDIRECT("'数据-取费表'!ai"&amp;$G$1)</f>
        <v>365</v>
      </c>
    </row>
    <row r="9" spans="1:37" ht="18" customHeight="1">
      <c r="A9" s="304"/>
      <c r="B9" s="3707"/>
      <c r="C9" s="306"/>
      <c r="D9" s="307"/>
      <c r="E9" s="302" t="s">
        <v>699</v>
      </c>
      <c r="F9" s="312">
        <f ca="1">INDIRECT("'数据-取费表'!w"&amp;$G$1)</f>
        <v>0</v>
      </c>
      <c r="G9" s="1383"/>
      <c r="H9" s="304"/>
      <c r="I9" s="3707"/>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2114</v>
      </c>
      <c r="E10" s="313" t="s">
        <v>701</v>
      </c>
      <c r="F10" s="1116" t="s">
        <v>3723</v>
      </c>
      <c r="G10" s="1383"/>
      <c r="H10" s="1069" t="s">
        <v>402</v>
      </c>
      <c r="I10" s="1364" t="s">
        <v>700</v>
      </c>
      <c r="J10" s="301">
        <f ca="1">ROUND(IF(M10="押一",J6/12*M11,IF(M10="押二",J6/12*2*M11,IF(M10="押三",J6/12*3*M11,J11*M11))),0)</f>
        <v>2</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8454</v>
      </c>
      <c r="D13" s="1081" t="s">
        <v>705</v>
      </c>
      <c r="E13" s="1081" t="s">
        <v>706</v>
      </c>
      <c r="F13" s="1082">
        <f ca="1">INDIRECT("'数据-取费表'!y"&amp;$G$1)</f>
        <v>0.85</v>
      </c>
      <c r="G13" s="1383"/>
      <c r="H13" s="1079">
        <v>2</v>
      </c>
      <c r="I13" s="1080" t="s">
        <v>704</v>
      </c>
      <c r="J13" s="1068">
        <f ca="1">ROUND(J14*J15,0)</f>
        <v>7758</v>
      </c>
      <c r="K13" s="1087" t="s">
        <v>705</v>
      </c>
      <c r="L13" s="1391"/>
      <c r="M13" s="1392"/>
    </row>
    <row r="14" spans="1:37" ht="18" customHeight="1">
      <c r="A14" s="982" t="s">
        <v>397</v>
      </c>
      <c r="B14" s="302" t="s">
        <v>707</v>
      </c>
      <c r="C14" s="318">
        <f ca="1">INDIRECT("'数据-取费表'!m"&amp;$G$1)+INDIRECT("'数据-取费表'!t"&amp;$G$1)</f>
        <v>6893</v>
      </c>
      <c r="D14" s="1344" t="s">
        <v>708</v>
      </c>
      <c r="E14" s="1341"/>
      <c r="F14" s="319"/>
      <c r="G14" s="1383"/>
      <c r="H14" s="982" t="s">
        <v>398</v>
      </c>
      <c r="I14" s="302" t="s">
        <v>709</v>
      </c>
      <c r="J14" s="21">
        <f ca="1">C29</f>
        <v>9946</v>
      </c>
      <c r="K14" s="12"/>
      <c r="L14" s="807"/>
      <c r="M14" s="808"/>
    </row>
    <row r="15" spans="1:37" s="1396" customFormat="1" ht="18" customHeight="1" thickBot="1">
      <c r="A15" s="982" t="s">
        <v>399</v>
      </c>
      <c r="B15" s="302" t="s">
        <v>710</v>
      </c>
      <c r="C15" s="21">
        <f ca="1">ROUND(C14*F15,0)</f>
        <v>345</v>
      </c>
      <c r="D15" s="320" t="s">
        <v>711</v>
      </c>
      <c r="E15" s="320" t="s">
        <v>712</v>
      </c>
      <c r="F15" s="321">
        <f>'数据-取费表'!B33</f>
        <v>0.05</v>
      </c>
      <c r="G15" s="1395"/>
      <c r="H15" s="1089" t="s">
        <v>402</v>
      </c>
      <c r="I15" s="1090" t="s">
        <v>706</v>
      </c>
      <c r="J15" s="1099">
        <f ca="1">INDIRECT("'数据-取费表'!ad"&amp;$G$1)</f>
        <v>0.78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361</v>
      </c>
      <c r="K16" s="1087" t="s">
        <v>715</v>
      </c>
      <c r="L16" s="1088"/>
      <c r="M16" s="1072"/>
    </row>
    <row r="17" spans="1:37" s="1396" customFormat="1" ht="18" customHeight="1">
      <c r="A17" s="982" t="s">
        <v>681</v>
      </c>
      <c r="B17" s="302" t="s">
        <v>716</v>
      </c>
      <c r="C17" s="21">
        <f ca="1">ROUND(F17*(F43+INDIRECT("'数据-取费表'!S"&amp;$G$1))/10000,0)</f>
        <v>230</v>
      </c>
      <c r="D17" s="302" t="s">
        <v>717</v>
      </c>
      <c r="E17" s="302" t="s">
        <v>718</v>
      </c>
      <c r="F17" s="23">
        <f>'数据-取费表'!B35</f>
        <v>200</v>
      </c>
      <c r="G17" s="1395"/>
      <c r="H17" s="982" t="s">
        <v>398</v>
      </c>
      <c r="I17" s="302" t="s">
        <v>719</v>
      </c>
      <c r="J17" s="2315">
        <f ca="1">ROUND(IF(AND(项目基本情况!B11="自然人",项目基本情况!B10="北京市"),J6*M17/(1+'数据-取费表'!C42),J18+J19+J20),2)</f>
        <v>294.31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138</v>
      </c>
      <c r="D18" s="302" t="s">
        <v>711</v>
      </c>
      <c r="E18" s="302" t="s">
        <v>712</v>
      </c>
      <c r="F18" s="322">
        <f>'数据-取费表'!B36</f>
        <v>0.02</v>
      </c>
      <c r="G18" s="1395"/>
      <c r="H18" s="982" t="s">
        <v>397</v>
      </c>
      <c r="I18" s="302" t="s">
        <v>723</v>
      </c>
      <c r="J18" s="21">
        <f ca="1">ROUND(J6*M18/(1+'数据-取费表'!C42),2)</f>
        <v>92.24</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7606</v>
      </c>
      <c r="D19" s="131" t="s">
        <v>726</v>
      </c>
      <c r="E19" s="1359"/>
      <c r="F19" s="23"/>
      <c r="G19" s="1383"/>
      <c r="H19" s="982" t="s">
        <v>399</v>
      </c>
      <c r="I19" s="302" t="s">
        <v>727</v>
      </c>
      <c r="J19" s="21">
        <f ca="1">IF(K19="按租金收入计税",ROUND(J6*M19/(1+'数据-取费表'!C42),2),ROUND(C29*M19*0.7,2))</f>
        <v>201.26</v>
      </c>
      <c r="K19" s="1369" t="s">
        <v>3336</v>
      </c>
      <c r="L19" s="302" t="s">
        <v>712</v>
      </c>
      <c r="M19" s="322">
        <f>IF(K19="按租金收入计税",'数据-取费表'!B51,'数据-取费表'!B50)</f>
        <v>0.12</v>
      </c>
    </row>
    <row r="20" spans="1:37" s="1396" customFormat="1" ht="18" customHeight="1">
      <c r="A20" s="982" t="s">
        <v>402</v>
      </c>
      <c r="B20" s="302" t="s">
        <v>728</v>
      </c>
      <c r="C20" s="21">
        <f ca="1">ROUND(C19*F20,0)</f>
        <v>152</v>
      </c>
      <c r="D20" s="323" t="s">
        <v>729</v>
      </c>
      <c r="E20" s="302" t="s">
        <v>712</v>
      </c>
      <c r="F20" s="322">
        <f>'数据-取费表'!B37</f>
        <v>0.02</v>
      </c>
      <c r="G20" s="1395"/>
      <c r="H20" s="982" t="s">
        <v>680</v>
      </c>
      <c r="I20" s="155" t="s">
        <v>730</v>
      </c>
      <c r="J20" s="22">
        <f ca="1">ROUND(M20*M21/10000,2)</f>
        <v>0.81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5422.86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49.73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267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7.76</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8.82</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1402</v>
      </c>
      <c r="K25" s="1095" t="s">
        <v>753</v>
      </c>
      <c r="L25" s="1096"/>
      <c r="M25" s="1097"/>
    </row>
    <row r="26" spans="1:37">
      <c r="A26" s="982" t="s">
        <v>397</v>
      </c>
      <c r="B26" s="302" t="s">
        <v>754</v>
      </c>
      <c r="C26" s="21">
        <f ca="1">ROUND((C19+C20)*F26,0)</f>
        <v>1164</v>
      </c>
      <c r="D26" s="323" t="s">
        <v>755</v>
      </c>
      <c r="E26" s="313" t="s">
        <v>756</v>
      </c>
      <c r="F26" s="312">
        <f ca="1">INDIRECT("'数据-取费表'!q"&amp;$G$1)</f>
        <v>0.15</v>
      </c>
      <c r="G26" s="1383"/>
      <c r="H26" s="299" t="s">
        <v>395</v>
      </c>
      <c r="I26" s="300" t="s">
        <v>757</v>
      </c>
      <c r="J26" s="301">
        <f ca="1">IF(J5&lt;&gt;0,ROUND(J25*(1-((1+M28)/(1+M26))^M27)/(M26-M28),0),0)</f>
        <v>22293</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22.47</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9946</v>
      </c>
      <c r="D29" s="1092"/>
      <c r="E29" s="1090"/>
      <c r="F29" s="1093"/>
      <c r="G29" s="1395"/>
      <c r="H29" s="334" t="s">
        <v>396</v>
      </c>
      <c r="I29" s="335" t="s">
        <v>768</v>
      </c>
      <c r="J29" s="336">
        <f ca="1">ROUND(J26/(1+F40)^F41,0)</f>
        <v>17775</v>
      </c>
      <c r="K29" s="337" t="s">
        <v>769</v>
      </c>
      <c r="L29" s="338"/>
      <c r="M29" s="339">
        <f ca="1">INDIRECT("'数据-取费表'!k"&amp;$G$1)</f>
        <v>11487.92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350</v>
      </c>
      <c r="D30" s="1087" t="s">
        <v>715</v>
      </c>
      <c r="E30" s="1088"/>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ROUND(IF(AND(项目基本情况!B11="自然人",项目基本情况!B10="北京市"),C6*F31/(1+'数据-取费表'!C42),C32+C33+C34),2)</f>
        <v>283.14</v>
      </c>
      <c r="D31" s="1344" t="s">
        <v>720</v>
      </c>
      <c r="E31" s="1343"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IF(项目基本情况!B11="自然人","——",ROUND(C6*F32/(1+'数据-取费表'!C42),2))</f>
        <v>88.73</v>
      </c>
      <c r="D32" s="1343"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193.6</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0.81</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5422.86</v>
      </c>
      <c r="G35" s="1383"/>
      <c r="H35" s="2695"/>
      <c r="I35" s="1397"/>
      <c r="J35" s="1398"/>
      <c r="K35" s="2699"/>
      <c r="L35" s="2698"/>
      <c r="M35" s="2698"/>
    </row>
    <row r="36" spans="1:18" ht="18" customHeight="1">
      <c r="A36" s="1102" t="s">
        <v>402</v>
      </c>
      <c r="B36" s="302" t="s">
        <v>738</v>
      </c>
      <c r="C36" s="21">
        <f ca="1">ROUND(C29*F36,2)</f>
        <v>49.73</v>
      </c>
      <c r="D36" s="1343" t="s">
        <v>771</v>
      </c>
      <c r="E36" s="302" t="s">
        <v>712</v>
      </c>
      <c r="F36" s="328">
        <f ca="1">INDIRECT("'数据-取费表'!Ak"&amp;$G$1)</f>
        <v>5.0000000000000001E-3</v>
      </c>
      <c r="G36" s="1383"/>
      <c r="H36" s="2698"/>
      <c r="I36" s="1397"/>
      <c r="J36" s="1398"/>
      <c r="K36" s="2543"/>
      <c r="L36" s="2698"/>
      <c r="M36" s="2698"/>
    </row>
    <row r="37" spans="1:18" ht="18" customHeight="1">
      <c r="A37" s="982" t="s">
        <v>437</v>
      </c>
      <c r="B37" s="302" t="s">
        <v>742</v>
      </c>
      <c r="C37" s="21">
        <f ca="1">ROUND(C13*F37,2)</f>
        <v>8.4499999999999993</v>
      </c>
      <c r="D37" s="1343" t="s">
        <v>743</v>
      </c>
      <c r="E37" s="302" t="s">
        <v>744</v>
      </c>
      <c r="F37" s="330">
        <f ca="1">INDIRECT("'数据-取费表'!Al"&amp;$G$1)</f>
        <v>1E-3</v>
      </c>
      <c r="G37" s="1383"/>
      <c r="H37" s="2698"/>
      <c r="I37" s="1397"/>
      <c r="J37" s="1398"/>
      <c r="K37" s="2543"/>
      <c r="L37" s="2698"/>
      <c r="M37" s="2698"/>
    </row>
    <row r="38" spans="1:18" ht="18" customHeight="1" thickBot="1">
      <c r="A38" s="1089" t="s">
        <v>684</v>
      </c>
      <c r="B38" s="1090" t="s">
        <v>728</v>
      </c>
      <c r="C38" s="1091">
        <f ca="1">ROUND(C5*F38,2)</f>
        <v>8.4700000000000006</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772</v>
      </c>
      <c r="C39" s="310">
        <f ca="1">C5-C30</f>
        <v>1344</v>
      </c>
      <c r="D39" s="1095" t="s">
        <v>773</v>
      </c>
      <c r="E39" s="1096"/>
      <c r="F39" s="1097"/>
      <c r="G39" s="1383"/>
      <c r="H39" s="2698"/>
      <c r="I39" s="1397">
        <f ca="1">C39/C6</f>
        <v>0.79338842975206614</v>
      </c>
      <c r="J39" s="1398"/>
      <c r="K39" s="2702"/>
      <c r="L39" s="2698"/>
      <c r="M39" s="2698"/>
    </row>
    <row r="40" spans="1:18" ht="18" customHeight="1">
      <c r="A40" s="299" t="s">
        <v>395</v>
      </c>
      <c r="B40" s="300" t="s">
        <v>774</v>
      </c>
      <c r="C40" s="301">
        <f ca="1">ROUND(C39*(1-((1+F42)/(1+F40))^F41)/(F40-F42),0)</f>
        <v>4952</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4.2300000000000004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4311</v>
      </c>
      <c r="D43" s="337" t="s">
        <v>777</v>
      </c>
      <c r="E43" s="338" t="s">
        <v>778</v>
      </c>
      <c r="F43" s="339">
        <f ca="1">INDIRECT("'数据-取费表'!k"&amp;$G$1)</f>
        <v>11487.92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-5169</v>
      </c>
      <c r="D46" s="1405" t="str">
        <f>C2</f>
        <v>万元</v>
      </c>
      <c r="E46" s="1399"/>
      <c r="F46" s="1399"/>
      <c r="I46" s="1406" t="s">
        <v>810</v>
      </c>
      <c r="J46" s="1407"/>
      <c r="K46" s="1408"/>
      <c r="L46" s="1409">
        <f ca="1">IF(M47="住宅",0,IF(L48&gt;J51,L60,J60))</f>
        <v>584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22727</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584</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f>'数据-取费表'!N17</f>
        <v>2015</v>
      </c>
      <c r="K49" s="1422" t="s">
        <v>824</v>
      </c>
      <c r="L49" s="1426"/>
      <c r="O49" s="1427" t="s">
        <v>405</v>
      </c>
      <c r="P49" s="1418" t="s">
        <v>825</v>
      </c>
      <c r="Q49" s="1419">
        <f ca="1">C29</f>
        <v>9946</v>
      </c>
      <c r="R49" s="1419" t="s">
        <v>818</v>
      </c>
    </row>
    <row r="50" spans="1:18" s="1383" customFormat="1" ht="13.5" thickBot="1">
      <c r="A50" s="976"/>
      <c r="B50" s="979"/>
      <c r="C50" s="1118"/>
      <c r="D50" s="953"/>
      <c r="E50" s="1056" t="s">
        <v>697</v>
      </c>
      <c r="F50" s="1057">
        <f ca="1">F7</f>
        <v>11487.92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13795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3" t="s">
        <v>837</v>
      </c>
      <c r="L53" s="3704"/>
      <c r="O53" s="1417" t="s">
        <v>409</v>
      </c>
      <c r="P53" s="1418" t="s">
        <v>838</v>
      </c>
      <c r="Q53" s="1419">
        <f ca="1">Q47+Q48</f>
        <v>23311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8454</v>
      </c>
      <c r="D56" s="1446"/>
      <c r="E56" s="1447"/>
      <c r="F56" s="1439"/>
      <c r="I56" s="1448" t="s">
        <v>842</v>
      </c>
      <c r="J56" s="1449" t="s">
        <v>3387</v>
      </c>
      <c r="K56" s="1420" t="s">
        <v>843</v>
      </c>
      <c r="L56" s="1423" t="str">
        <f ca="1">IF(L48&lt;J51,"——",L48-J53)</f>
        <v>——</v>
      </c>
      <c r="O56" s="1417" t="s">
        <v>403</v>
      </c>
      <c r="P56" s="1418" t="s">
        <v>817</v>
      </c>
      <c r="Q56" s="1419">
        <f ca="1">C40+J29</f>
        <v>22727</v>
      </c>
      <c r="R56" s="1419" t="s">
        <v>818</v>
      </c>
    </row>
    <row r="57" spans="1:18" s="1383" customFormat="1" ht="24.75" thickBot="1">
      <c r="A57" s="1450"/>
      <c r="B57" s="950" t="s">
        <v>767</v>
      </c>
      <c r="C57" s="238">
        <f ca="1">C29</f>
        <v>9946</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59</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4028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584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22727</v>
      </c>
      <c r="R62" s="1419" t="s">
        <v>410</v>
      </c>
    </row>
    <row r="63" spans="1:18" s="1383" customFormat="1" ht="13.5" thickBot="1">
      <c r="A63" s="326"/>
      <c r="B63" s="956"/>
      <c r="C63" s="26"/>
      <c r="D63" s="966"/>
      <c r="E63" s="950" t="s">
        <v>788</v>
      </c>
      <c r="F63" s="303">
        <f t="shared" ca="1" si="0"/>
        <v>5422.86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49.73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8.4499999999999993</v>
      </c>
      <c r="D65" s="964" t="s">
        <v>743</v>
      </c>
      <c r="E65" s="950" t="s">
        <v>744</v>
      </c>
      <c r="F65" s="330">
        <f t="shared" ca="1" si="0"/>
        <v>1E-3</v>
      </c>
      <c r="I65" s="1461" t="s">
        <v>867</v>
      </c>
      <c r="J65" s="1462">
        <v>40</v>
      </c>
      <c r="K65" s="1462">
        <v>30</v>
      </c>
      <c r="L65" s="1462">
        <v>50</v>
      </c>
      <c r="M65" s="1464">
        <v>0.02</v>
      </c>
      <c r="O65" s="1417" t="s">
        <v>403</v>
      </c>
      <c r="P65" s="1418" t="s">
        <v>868</v>
      </c>
      <c r="Q65" s="1419">
        <f ca="1">C40+J29</f>
        <v>22727</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-59</v>
      </c>
      <c r="D67" s="963" t="s">
        <v>753</v>
      </c>
      <c r="E67" s="968"/>
      <c r="F67" s="969"/>
      <c r="O67" s="1427" t="s">
        <v>405</v>
      </c>
      <c r="P67" s="1418" t="s">
        <v>850</v>
      </c>
      <c r="Q67" s="1465">
        <f ca="1">L51</f>
        <v>13795</v>
      </c>
      <c r="R67" s="1419" t="s">
        <v>870</v>
      </c>
    </row>
    <row r="68" spans="1:18" s="1383" customFormat="1" ht="16.5" thickBot="1">
      <c r="A68" s="947" t="s">
        <v>395</v>
      </c>
      <c r="B68" s="948" t="s">
        <v>774</v>
      </c>
      <c r="C68" s="301">
        <f ca="1">ROUND(C67*(1-((1+F70)/(1+F68))^F69)/(F68-F70),0)</f>
        <v>-217</v>
      </c>
      <c r="D68" s="965" t="s">
        <v>758</v>
      </c>
      <c r="E68" s="950" t="s">
        <v>759</v>
      </c>
      <c r="F68" s="312">
        <f ca="1">F40</f>
        <v>5.5E-2</v>
      </c>
      <c r="O68" s="1427" t="s">
        <v>406</v>
      </c>
      <c r="P68" s="1466" t="s">
        <v>871</v>
      </c>
      <c r="Q68" s="1419">
        <f ca="1">ROUND(Q69-Q70*Q71,0)</f>
        <v>752</v>
      </c>
      <c r="R68" s="1419" t="s">
        <v>414</v>
      </c>
    </row>
    <row r="69" spans="1:18" s="1383" customFormat="1" ht="13.5" thickBot="1">
      <c r="A69" s="951"/>
      <c r="B69" s="952"/>
      <c r="C69" s="306"/>
      <c r="D69" s="970" t="s">
        <v>762</v>
      </c>
      <c r="E69" s="950" t="s">
        <v>763</v>
      </c>
      <c r="F69" s="333">
        <f ca="1">F41</f>
        <v>4.2300000000000004</v>
      </c>
      <c r="O69" s="1427" t="s">
        <v>411</v>
      </c>
      <c r="P69" s="1466" t="s">
        <v>872</v>
      </c>
      <c r="Q69" s="1419">
        <f ca="1">C39</f>
        <v>1344</v>
      </c>
      <c r="R69" s="1419" t="s">
        <v>818</v>
      </c>
    </row>
    <row r="70" spans="1:18" s="1383" customFormat="1" ht="13.5" thickBot="1">
      <c r="A70" s="954"/>
      <c r="B70" s="955"/>
      <c r="C70" s="310"/>
      <c r="D70" s="966"/>
      <c r="E70" s="950" t="s">
        <v>766</v>
      </c>
      <c r="F70" s="1054"/>
      <c r="O70" s="1427" t="s">
        <v>412</v>
      </c>
      <c r="P70" s="1466" t="s">
        <v>873</v>
      </c>
      <c r="Q70" s="1419">
        <f ca="1">C13</f>
        <v>8454</v>
      </c>
      <c r="R70" s="1419" t="s">
        <v>818</v>
      </c>
    </row>
    <row r="71" spans="1:18" s="1383" customFormat="1" ht="13.5" thickBot="1">
      <c r="A71" s="971" t="s">
        <v>396</v>
      </c>
      <c r="B71" s="972" t="s">
        <v>776</v>
      </c>
      <c r="C71" s="336">
        <f ca="1">ROUND(C68*10000/F71,0)</f>
        <v>-189</v>
      </c>
      <c r="D71" s="973" t="s">
        <v>777</v>
      </c>
      <c r="E71" s="974" t="s">
        <v>778</v>
      </c>
      <c r="F71" s="339">
        <f ca="1">F43</f>
        <v>11487.92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592</v>
      </c>
      <c r="D75" s="1383"/>
      <c r="E75" s="1383"/>
      <c r="F75" s="1383"/>
      <c r="K75" s="1401"/>
      <c r="L75" s="1383"/>
      <c r="O75" s="1417" t="s">
        <v>409</v>
      </c>
      <c r="P75" s="1418" t="s">
        <v>838</v>
      </c>
      <c r="Q75" s="1419">
        <f ca="1">Q65+Q66</f>
        <v>22727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0.56000000000000005</v>
      </c>
    </row>
    <row r="80" spans="1:18">
      <c r="B80" s="340" t="s">
        <v>800</v>
      </c>
      <c r="C80" s="274">
        <f ca="1">ROUND(C75/C39,3)</f>
        <v>0.44</v>
      </c>
    </row>
    <row r="81" spans="2:3">
      <c r="B81" s="270" t="s">
        <v>801</v>
      </c>
      <c r="C81" s="238"/>
    </row>
    <row r="82" spans="2:3">
      <c r="B82" s="273" t="s">
        <v>802</v>
      </c>
      <c r="C82" s="275">
        <f ca="1">1-C83</f>
        <v>-0.70700000000000007</v>
      </c>
    </row>
    <row r="83" spans="2:3">
      <c r="B83" s="273" t="s">
        <v>803</v>
      </c>
      <c r="C83" s="274">
        <f ca="1">ROUND(C13/C40,3)</f>
        <v>1.7070000000000001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5" t="s">
        <v>694</v>
      </c>
      <c r="C6" s="1074">
        <f ca="1">ROUND(F6*F8*F7*(1-F9),0)</f>
        <v>0</v>
      </c>
      <c r="D6" s="155" t="s">
        <v>2103</v>
      </c>
      <c r="E6" s="302" t="s">
        <v>696</v>
      </c>
      <c r="F6" s="303">
        <f ca="1">INDIRECT("'数据-取费表'!u"&amp;$G$1)</f>
        <v>0</v>
      </c>
      <c r="G6" s="1383"/>
      <c r="H6" s="1069" t="s">
        <v>398</v>
      </c>
      <c r="I6" s="3705" t="s">
        <v>694</v>
      </c>
      <c r="J6" s="301">
        <f ca="1">ROUND(M6*M8*M7*(1-M9),0)</f>
        <v>0</v>
      </c>
      <c r="K6" s="1375" t="s">
        <v>2104</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0</v>
      </c>
      <c r="G7" s="1383"/>
      <c r="H7" s="304"/>
      <c r="I7" s="3706"/>
      <c r="J7" s="306"/>
      <c r="K7" s="307"/>
      <c r="L7" s="302" t="s">
        <v>697</v>
      </c>
      <c r="M7" s="303">
        <f ca="1">F7</f>
        <v>0</v>
      </c>
    </row>
    <row r="8" spans="1:37" ht="18" customHeight="1">
      <c r="A8" s="304"/>
      <c r="B8" s="3706"/>
      <c r="C8" s="306"/>
      <c r="D8" s="307"/>
      <c r="E8" s="302" t="s">
        <v>698</v>
      </c>
      <c r="F8" s="303">
        <f ca="1">INDIRECT("'数据-取费表'!ai"&amp;$G$1)</f>
        <v>0</v>
      </c>
      <c r="G8" s="1383"/>
      <c r="H8" s="304"/>
      <c r="I8" s="3706"/>
      <c r="J8" s="306"/>
      <c r="K8" s="307"/>
      <c r="L8" s="302" t="s">
        <v>698</v>
      </c>
      <c r="M8" s="303">
        <f ca="1">INDIRECT("'数据-取费表'!ai"&amp;$G$1)</f>
        <v>0</v>
      </c>
    </row>
    <row r="9" spans="1:37" ht="18" customHeight="1">
      <c r="A9" s="304"/>
      <c r="B9" s="3707"/>
      <c r="C9" s="306"/>
      <c r="D9" s="307"/>
      <c r="E9" s="302" t="s">
        <v>699</v>
      </c>
      <c r="F9" s="312">
        <f ca="1">INDIRECT("'数据-取费表'!w"&amp;$G$1)</f>
        <v>0</v>
      </c>
      <c r="G9" s="1383"/>
      <c r="H9" s="304"/>
      <c r="I9" s="370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2113</v>
      </c>
      <c r="E10" s="313" t="s">
        <v>701</v>
      </c>
      <c r="F10" s="1116"/>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3"/>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t="e">
        <f ca="1">ROUND((C68-C40)/10000,4)</f>
        <v>#DIV/0!</v>
      </c>
      <c r="D45" s="3430"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03" t="s">
        <v>837</v>
      </c>
      <c r="L53" s="370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4" t="s">
        <v>2316</v>
      </c>
      <c r="B2" s="2841" t="e">
        <f>IF(D2="——",C40,C40+E2)</f>
        <v>#DIV/0!</v>
      </c>
      <c r="C2" s="2842" t="s">
        <v>2317</v>
      </c>
      <c r="D2" s="3441" t="s">
        <v>3359</v>
      </c>
      <c r="E2" s="3442"/>
      <c r="F2" s="2844"/>
      <c r="G2" s="2845"/>
      <c r="H2" s="2846"/>
      <c r="I2" s="2847"/>
      <c r="J2" s="3714" t="s">
        <v>2318</v>
      </c>
      <c r="K2" s="3715"/>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6" t="s">
        <v>2328</v>
      </c>
      <c r="K3" s="3717"/>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6" t="s">
        <v>2330</v>
      </c>
      <c r="K4" s="3717"/>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22" t="s">
        <v>2334</v>
      </c>
      <c r="B6" s="3723"/>
      <c r="C6" s="3724"/>
      <c r="D6" s="2868"/>
      <c r="E6" s="2869"/>
      <c r="F6" s="2870"/>
      <c r="G6" s="2871"/>
      <c r="H6" s="2846"/>
      <c r="I6" s="2847"/>
      <c r="J6" s="3708">
        <v>1</v>
      </c>
      <c r="K6" s="370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8"/>
      <c r="K7" s="371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5" t="s">
        <v>2348</v>
      </c>
      <c r="C8" s="3726"/>
      <c r="D8" s="2887" t="s">
        <v>2349</v>
      </c>
      <c r="E8" s="2888" t="s">
        <v>2350</v>
      </c>
      <c r="F8" s="2889" t="s">
        <v>2351</v>
      </c>
      <c r="G8" s="2890"/>
      <c r="H8" s="2846"/>
      <c r="I8" s="2847"/>
      <c r="J8" s="3708"/>
      <c r="K8" s="371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5" t="s">
        <v>2354</v>
      </c>
      <c r="C9" s="3726"/>
      <c r="D9" s="2887">
        <f>ROUND(D6*E9,0)</f>
        <v>0</v>
      </c>
      <c r="E9" s="2891"/>
      <c r="F9" s="2892" t="s">
        <v>2355</v>
      </c>
      <c r="G9" s="2871"/>
      <c r="H9" s="2846"/>
      <c r="I9" s="2847"/>
      <c r="J9" s="3708"/>
      <c r="K9" s="3710"/>
      <c r="L9" s="2881" t="s">
        <v>2356</v>
      </c>
      <c r="M9" s="2882"/>
      <c r="N9" s="2858"/>
      <c r="O9" s="2883"/>
      <c r="P9" s="2883"/>
      <c r="Q9" s="2884">
        <v>365</v>
      </c>
      <c r="R9" s="2885">
        <f t="shared" si="0"/>
        <v>0</v>
      </c>
      <c r="S9" s="2839"/>
      <c r="T9" s="2839"/>
      <c r="U9" s="2839"/>
      <c r="V9" s="2847"/>
    </row>
    <row r="10" spans="1:22" s="2851" customFormat="1" ht="13.15" customHeight="1">
      <c r="A10" s="2886">
        <v>2</v>
      </c>
      <c r="B10" s="3725" t="s">
        <v>2357</v>
      </c>
      <c r="C10" s="3726"/>
      <c r="D10" s="2887">
        <f>ROUND(D6*E10,0)</f>
        <v>0</v>
      </c>
      <c r="E10" s="2891"/>
      <c r="F10" s="2892" t="s">
        <v>2358</v>
      </c>
      <c r="G10" s="2871"/>
      <c r="H10" s="2846"/>
      <c r="I10" s="2847"/>
      <c r="J10" s="3708"/>
      <c r="K10" s="3710"/>
      <c r="L10" s="2881" t="s">
        <v>2359</v>
      </c>
      <c r="M10" s="2882"/>
      <c r="N10" s="2858"/>
      <c r="O10" s="2883"/>
      <c r="P10" s="2883"/>
      <c r="Q10" s="2884">
        <v>365</v>
      </c>
      <c r="R10" s="2885">
        <f t="shared" si="0"/>
        <v>0</v>
      </c>
      <c r="S10" s="2839"/>
      <c r="T10" s="2839"/>
      <c r="U10" s="2839"/>
      <c r="V10" s="2847"/>
    </row>
    <row r="11" spans="1:22" s="2851" customFormat="1" ht="13.15" customHeight="1">
      <c r="A11" s="2886">
        <v>3</v>
      </c>
      <c r="B11" s="3725" t="s">
        <v>2360</v>
      </c>
      <c r="C11" s="3726"/>
      <c r="D11" s="2887">
        <f>D12+D14+D15+D16</f>
        <v>0</v>
      </c>
      <c r="E11" s="2893" t="e">
        <f>D11/D6</f>
        <v>#DIV/0!</v>
      </c>
      <c r="F11" s="2889"/>
      <c r="G11" s="2890"/>
      <c r="H11" s="2846"/>
      <c r="I11" s="2847"/>
      <c r="J11" s="3708"/>
      <c r="K11" s="371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8" t="s">
        <v>2363</v>
      </c>
      <c r="C12" s="3719"/>
      <c r="D12" s="2895">
        <f>ROUND(D13*1.2%*(1-30%),0)</f>
        <v>0</v>
      </c>
      <c r="E12" s="2896">
        <v>1.2E-2</v>
      </c>
      <c r="F12" s="2889" t="s">
        <v>2364</v>
      </c>
      <c r="G12" s="2890"/>
      <c r="H12" s="2846"/>
      <c r="I12" s="2847"/>
      <c r="J12" s="3708"/>
      <c r="K12" s="371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8"/>
      <c r="K13" s="371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8" t="s">
        <v>2369</v>
      </c>
      <c r="C14" s="3719"/>
      <c r="D14" s="2895">
        <f>ROUND(E14*B5/10000,0)</f>
        <v>0</v>
      </c>
      <c r="E14" s="2884"/>
      <c r="F14" s="2889" t="s">
        <v>2370</v>
      </c>
      <c r="G14" s="2890"/>
      <c r="H14" s="2846"/>
      <c r="I14" s="2847"/>
      <c r="J14" s="3708"/>
      <c r="K14" s="371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8" t="s">
        <v>2373</v>
      </c>
      <c r="C15" s="3719"/>
      <c r="D15" s="2895">
        <f>ROUND(D6*E15,0)</f>
        <v>0</v>
      </c>
      <c r="E15" s="2896">
        <v>5.5E-2</v>
      </c>
      <c r="F15" s="2889" t="s">
        <v>2374</v>
      </c>
      <c r="G15" s="2871"/>
      <c r="H15" s="2846"/>
      <c r="I15" s="2847"/>
      <c r="J15" s="3708">
        <v>2</v>
      </c>
      <c r="K15" s="370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8" t="s">
        <v>2382</v>
      </c>
      <c r="C16" s="3719"/>
      <c r="D16" s="2906">
        <f>D6*E16</f>
        <v>0</v>
      </c>
      <c r="E16" s="2907"/>
      <c r="F16" s="2892" t="s">
        <v>2383</v>
      </c>
      <c r="G16" s="2871"/>
      <c r="H16" s="2846"/>
      <c r="I16" s="2847"/>
      <c r="J16" s="3708"/>
      <c r="K16" s="371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20" t="s">
        <v>2385</v>
      </c>
      <c r="C17" s="3721"/>
      <c r="D17" s="2909">
        <f>ROUND(D6*E17,0)</f>
        <v>0</v>
      </c>
      <c r="E17" s="2910"/>
      <c r="F17" s="2911" t="s">
        <v>2386</v>
      </c>
      <c r="G17" s="2871"/>
      <c r="H17" s="2846"/>
      <c r="I17" s="2847"/>
      <c r="J17" s="3708"/>
      <c r="K17" s="371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8"/>
      <c r="K18" s="371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8"/>
      <c r="K19" s="371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8"/>
      <c r="K21" s="371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8"/>
      <c r="K22" s="371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8"/>
      <c r="K23" s="371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8"/>
      <c r="K24" s="371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2">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4" t="s">
        <v>2318</v>
      </c>
      <c r="K32" s="3715"/>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6" t="s">
        <v>2328</v>
      </c>
      <c r="K33" s="3717"/>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6" t="s">
        <v>2330</v>
      </c>
      <c r="K34" s="371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8">
        <v>1</v>
      </c>
      <c r="K36" s="370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8"/>
      <c r="K40" s="371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2">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5"/>
      <c r="G1" s="1488"/>
      <c r="H1" s="1488"/>
      <c r="I1" s="1488"/>
      <c r="J1" s="1488"/>
      <c r="K1" s="1488"/>
      <c r="L1" s="1488"/>
      <c r="M1" s="1488"/>
      <c r="N1" s="1488"/>
      <c r="O1" s="1488"/>
      <c r="P1" s="1488"/>
      <c r="Q1" s="1488"/>
      <c r="R1" s="1488"/>
      <c r="S1" s="1488"/>
    </row>
    <row r="2" spans="1:22" ht="15.75">
      <c r="A2" s="1869" t="s">
        <v>1459</v>
      </c>
      <c r="B2" s="1870">
        <f ca="1">SUMIF(B6:B13,"&lt;&gt;#ref!",B6:B13)</f>
        <v>64844</v>
      </c>
      <c r="C2" s="1871" t="s">
        <v>1648</v>
      </c>
      <c r="D2" s="1872" t="s">
        <v>1649</v>
      </c>
      <c r="E2" s="2606">
        <f>SUM(E6:E13)</f>
        <v>36780.86</v>
      </c>
      <c r="F2" s="2705"/>
      <c r="G2" s="1488"/>
      <c r="H2" s="1488"/>
      <c r="I2" s="1488"/>
      <c r="J2" s="1488"/>
      <c r="K2" s="1488"/>
      <c r="L2" s="1488"/>
      <c r="M2" s="1488"/>
      <c r="N2" s="1488"/>
      <c r="O2" s="1488"/>
      <c r="P2" s="1488"/>
      <c r="Q2" s="1488"/>
      <c r="R2" s="1488"/>
      <c r="S2" s="1488"/>
    </row>
    <row r="3" spans="1:22" ht="15.75">
      <c r="A3" s="1869" t="s">
        <v>686</v>
      </c>
      <c r="B3" s="2600">
        <f ca="1">ROUND(B2*10000/E2,0)</f>
        <v>17630</v>
      </c>
      <c r="C3" s="1871" t="s">
        <v>1656</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1650</v>
      </c>
      <c r="B5" s="3727" t="s">
        <v>1651</v>
      </c>
      <c r="C5" s="3728"/>
      <c r="D5" s="2706"/>
      <c r="E5" s="1873" t="s">
        <v>1652</v>
      </c>
      <c r="F5" s="1874" t="s">
        <v>1653</v>
      </c>
      <c r="G5" s="1488"/>
      <c r="H5" s="1488"/>
      <c r="I5" s="1488"/>
      <c r="J5" s="1488"/>
      <c r="K5" s="1488"/>
      <c r="L5" s="1488"/>
      <c r="M5" s="1488"/>
      <c r="N5" s="1488"/>
      <c r="O5" s="1488"/>
      <c r="P5" s="1488"/>
      <c r="Q5" s="1488"/>
      <c r="R5" s="1488"/>
      <c r="S5" s="1488"/>
    </row>
    <row r="6" spans="1:22">
      <c r="A6" s="2603" t="str">
        <f>'数据-取费表'!AN6</f>
        <v>收益法12号楼</v>
      </c>
      <c r="B6" s="2601">
        <f ca="1">IF(F6="是",'数据-取费表'!AO6,0)</f>
        <v>23311</v>
      </c>
      <c r="C6" s="1871" t="s">
        <v>1648</v>
      </c>
      <c r="D6" s="2707"/>
      <c r="E6" s="2605">
        <f>IF(OR(A6=0,F6="否"),0,'数据-取费表'!K6+'数据-取费表'!S6)</f>
        <v>11487.92</v>
      </c>
      <c r="F6" s="1875" t="s">
        <v>1654</v>
      </c>
      <c r="G6" s="1488"/>
      <c r="H6" s="1488"/>
      <c r="I6" s="1488"/>
      <c r="J6" s="1488"/>
      <c r="K6" s="1488"/>
      <c r="L6" s="1488"/>
      <c r="M6" s="1488"/>
      <c r="N6" s="1488"/>
      <c r="O6" s="1488"/>
      <c r="P6" s="1488"/>
      <c r="Q6" s="1488"/>
      <c r="R6" s="1488"/>
      <c r="S6" s="1488"/>
    </row>
    <row r="7" spans="1:22">
      <c r="A7" s="2603" t="str">
        <f>'数据-取费表'!AN7</f>
        <v>收益法13号楼</v>
      </c>
      <c r="B7" s="2601">
        <f ca="1">IF(F7="是",'数据-取费表'!AO7,0)</f>
        <v>41533</v>
      </c>
      <c r="C7" s="1871" t="s">
        <v>1648</v>
      </c>
      <c r="D7" s="2707"/>
      <c r="E7" s="2605">
        <f>IF(OR(A7=0,F7="否"),0,'数据-取费表'!K7+'数据-取费表'!S7)</f>
        <v>25292.940000000002</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7"/>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7"/>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7"/>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7"/>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7"/>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8"/>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4"/>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36780.86</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1663</v>
      </c>
      <c r="B4" s="356"/>
      <c r="C4" s="3747" t="s">
        <v>1664</v>
      </c>
      <c r="D4" s="3748"/>
      <c r="E4" s="3749" t="s">
        <v>1665</v>
      </c>
      <c r="F4" s="3750"/>
      <c r="G4" s="3747" t="s">
        <v>1666</v>
      </c>
      <c r="H4" s="3748"/>
      <c r="I4" s="3747" t="s">
        <v>1667</v>
      </c>
      <c r="J4" s="3748"/>
      <c r="K4" s="1888" t="s">
        <v>1668</v>
      </c>
      <c r="L4" s="2713"/>
      <c r="M4" s="2714"/>
      <c r="N4" s="2714"/>
      <c r="O4" s="2714"/>
      <c r="P4" s="3751" t="s">
        <v>1669</v>
      </c>
      <c r="Q4" s="3752"/>
      <c r="R4" s="3757" t="s">
        <v>1665</v>
      </c>
      <c r="S4" s="3758"/>
      <c r="T4" s="3757" t="s">
        <v>1666</v>
      </c>
      <c r="U4" s="3758"/>
      <c r="V4" s="3763" t="s">
        <v>1667</v>
      </c>
      <c r="W4" s="3763"/>
      <c r="X4" s="1354"/>
      <c r="Y4" s="3757" t="s">
        <v>1669</v>
      </c>
      <c r="Z4" s="3758"/>
      <c r="AA4" s="3744" t="s">
        <v>1665</v>
      </c>
      <c r="AB4" s="3744" t="s">
        <v>1666</v>
      </c>
      <c r="AC4" s="3744" t="s">
        <v>1667</v>
      </c>
    </row>
    <row r="5" spans="1:29" ht="15">
      <c r="A5" s="358"/>
      <c r="B5" s="359"/>
      <c r="C5" s="3766" t="s">
        <v>1670</v>
      </c>
      <c r="D5" s="3767"/>
      <c r="E5" s="3773" t="s">
        <v>1671</v>
      </c>
      <c r="F5" s="3774"/>
      <c r="G5" s="3766" t="s">
        <v>1672</v>
      </c>
      <c r="H5" s="3767"/>
      <c r="I5" s="3766" t="s">
        <v>1673</v>
      </c>
      <c r="J5" s="3767"/>
      <c r="K5" s="1889"/>
      <c r="L5" s="2713"/>
      <c r="M5" s="2714"/>
      <c r="N5" s="2714"/>
      <c r="O5" s="2714"/>
      <c r="P5" s="3753"/>
      <c r="Q5" s="3754"/>
      <c r="R5" s="3759"/>
      <c r="S5" s="3760"/>
      <c r="T5" s="3759"/>
      <c r="U5" s="3760"/>
      <c r="V5" s="3763"/>
      <c r="W5" s="3763"/>
      <c r="X5" s="1354"/>
      <c r="Y5" s="3759"/>
      <c r="Z5" s="3760"/>
      <c r="AA5" s="3745"/>
      <c r="AB5" s="3745"/>
      <c r="AC5" s="3745"/>
    </row>
    <row r="6" spans="1:29" ht="15.75" thickBot="1">
      <c r="A6" s="360"/>
      <c r="B6" s="361"/>
      <c r="C6" s="3764" t="s">
        <v>1674</v>
      </c>
      <c r="D6" s="3765"/>
      <c r="E6" s="3771" t="s">
        <v>1674</v>
      </c>
      <c r="F6" s="3772"/>
      <c r="G6" s="3764" t="s">
        <v>1674</v>
      </c>
      <c r="H6" s="3765"/>
      <c r="I6" s="3764" t="s">
        <v>1674</v>
      </c>
      <c r="J6" s="3765"/>
      <c r="K6" s="1889" t="s">
        <v>1675</v>
      </c>
      <c r="L6" s="2713"/>
      <c r="M6" s="2714"/>
      <c r="N6" s="2714"/>
      <c r="O6" s="2714"/>
      <c r="P6" s="3755"/>
      <c r="Q6" s="3756"/>
      <c r="R6" s="3759"/>
      <c r="S6" s="3760"/>
      <c r="T6" s="3761"/>
      <c r="U6" s="3762"/>
      <c r="V6" s="3763"/>
      <c r="W6" s="3763"/>
      <c r="X6" s="1354"/>
      <c r="Y6" s="3761"/>
      <c r="Z6" s="3762"/>
      <c r="AA6" s="3746"/>
      <c r="AB6" s="3746"/>
      <c r="AC6" s="3746"/>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68" t="s">
        <v>1677</v>
      </c>
      <c r="Q7" s="3770"/>
      <c r="R7" s="701" t="s">
        <v>20</v>
      </c>
      <c r="S7" s="702">
        <f t="shared" ref="S7:S15" si="0">F7</f>
        <v>0</v>
      </c>
      <c r="T7" s="701" t="s">
        <v>20</v>
      </c>
      <c r="U7" s="702">
        <f t="shared" ref="U7:U15" si="1">H7</f>
        <v>0</v>
      </c>
      <c r="V7" s="701" t="s">
        <v>20</v>
      </c>
      <c r="W7" s="702">
        <f t="shared" ref="W7:W15" si="2">J7</f>
        <v>0</v>
      </c>
      <c r="X7" s="703"/>
      <c r="Y7" s="3768" t="s">
        <v>1677</v>
      </c>
      <c r="Z7" s="3769"/>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68" t="s">
        <v>1680</v>
      </c>
      <c r="Q8" s="3769"/>
      <c r="R8" s="701" t="s">
        <v>20</v>
      </c>
      <c r="S8" s="702">
        <f t="shared" si="0"/>
        <v>100</v>
      </c>
      <c r="T8" s="701" t="s">
        <v>20</v>
      </c>
      <c r="U8" s="702">
        <f t="shared" si="1"/>
        <v>100</v>
      </c>
      <c r="V8" s="701" t="s">
        <v>20</v>
      </c>
      <c r="W8" s="702">
        <f t="shared" si="2"/>
        <v>100</v>
      </c>
      <c r="X8" s="703"/>
      <c r="Y8" s="3768" t="s">
        <v>1680</v>
      </c>
      <c r="Z8" s="3769"/>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3" t="s">
        <v>1683</v>
      </c>
      <c r="Q9" s="1342" t="str">
        <f t="shared" ref="Q9:Q15" si="6">B9</f>
        <v>用途</v>
      </c>
      <c r="R9" s="701" t="s">
        <v>14</v>
      </c>
      <c r="S9" s="702">
        <f t="shared" si="0"/>
        <v>100</v>
      </c>
      <c r="T9" s="701" t="s">
        <v>14</v>
      </c>
      <c r="U9" s="702">
        <f t="shared" si="1"/>
        <v>100</v>
      </c>
      <c r="V9" s="701" t="s">
        <v>14</v>
      </c>
      <c r="W9" s="702">
        <f t="shared" si="2"/>
        <v>100</v>
      </c>
      <c r="X9" s="703"/>
      <c r="Y9" s="3607"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3"/>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3"/>
      <c r="Q11" s="1342"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3"/>
      <c r="Q12" s="1342">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3"/>
      <c r="Q13" s="1342">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3"/>
      <c r="Q14" s="1342">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85.5">
      <c r="A15" s="391" t="s">
        <v>1687</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1" t="s">
        <v>1688</v>
      </c>
      <c r="Q15" s="1351" t="str">
        <f t="shared" si="6"/>
        <v>居住社区成熟度</v>
      </c>
      <c r="R15" s="705" t="s">
        <v>18</v>
      </c>
      <c r="S15" s="706">
        <f t="shared" si="0"/>
        <v>100</v>
      </c>
      <c r="T15" s="705" t="s">
        <v>18</v>
      </c>
      <c r="U15" s="706">
        <f t="shared" si="1"/>
        <v>100</v>
      </c>
      <c r="V15" s="705" t="s">
        <v>18</v>
      </c>
      <c r="W15" s="706">
        <f t="shared" si="2"/>
        <v>100</v>
      </c>
      <c r="X15" s="1354"/>
      <c r="Y15" s="3734"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42"/>
      <c r="Q16" s="1351"/>
      <c r="R16" s="705"/>
      <c r="S16" s="706"/>
      <c r="T16" s="705"/>
      <c r="U16" s="706"/>
      <c r="V16" s="705"/>
      <c r="W16" s="706"/>
      <c r="X16" s="1354"/>
      <c r="Y16" s="3735"/>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2"/>
      <c r="Q17" s="1351" t="str">
        <f>B17</f>
        <v>交通便捷度</v>
      </c>
      <c r="R17" s="705" t="s">
        <v>18</v>
      </c>
      <c r="S17" s="706">
        <f>F17</f>
        <v>100</v>
      </c>
      <c r="T17" s="705" t="s">
        <v>18</v>
      </c>
      <c r="U17" s="706">
        <f>H17</f>
        <v>100</v>
      </c>
      <c r="V17" s="705" t="s">
        <v>18</v>
      </c>
      <c r="W17" s="706">
        <f>J17</f>
        <v>100</v>
      </c>
      <c r="X17" s="1354"/>
      <c r="Y17" s="373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42"/>
      <c r="Q18" s="1351"/>
      <c r="R18" s="705"/>
      <c r="S18" s="706"/>
      <c r="T18" s="705"/>
      <c r="U18" s="706"/>
      <c r="V18" s="705"/>
      <c r="W18" s="706"/>
      <c r="X18" s="1354"/>
      <c r="Y18" s="3735"/>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2"/>
      <c r="Q19" s="1351" t="str">
        <f>B19</f>
        <v>公共配套设施</v>
      </c>
      <c r="R19" s="705" t="s">
        <v>18</v>
      </c>
      <c r="S19" s="706">
        <f>F19</f>
        <v>100</v>
      </c>
      <c r="T19" s="705" t="s">
        <v>18</v>
      </c>
      <c r="U19" s="706">
        <f>H19</f>
        <v>100</v>
      </c>
      <c r="V19" s="705" t="s">
        <v>18</v>
      </c>
      <c r="W19" s="706">
        <f>J19</f>
        <v>100</v>
      </c>
      <c r="X19" s="1354"/>
      <c r="Y19" s="373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42"/>
      <c r="Q20" s="1351"/>
      <c r="R20" s="705"/>
      <c r="S20" s="706"/>
      <c r="T20" s="705"/>
      <c r="U20" s="706"/>
      <c r="V20" s="705"/>
      <c r="W20" s="706"/>
      <c r="X20" s="1354"/>
      <c r="Y20" s="3735"/>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2"/>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42"/>
      <c r="Q22" s="1351"/>
      <c r="R22" s="705"/>
      <c r="S22" s="706"/>
      <c r="T22" s="705"/>
      <c r="U22" s="706"/>
      <c r="V22" s="705"/>
      <c r="W22" s="706"/>
      <c r="X22" s="1354"/>
      <c r="Y22" s="3735"/>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2"/>
      <c r="Q23" s="1351" t="str">
        <f>B23</f>
        <v>自然及人文环境</v>
      </c>
      <c r="R23" s="705" t="s">
        <v>18</v>
      </c>
      <c r="S23" s="706">
        <f>F23</f>
        <v>100</v>
      </c>
      <c r="T23" s="705" t="s">
        <v>18</v>
      </c>
      <c r="U23" s="706">
        <f>H23</f>
        <v>100</v>
      </c>
      <c r="V23" s="705" t="s">
        <v>18</v>
      </c>
      <c r="W23" s="706">
        <f>J23</f>
        <v>100</v>
      </c>
      <c r="X23" s="1354"/>
      <c r="Y23" s="373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42"/>
      <c r="Q24" s="1351"/>
      <c r="R24" s="705"/>
      <c r="S24" s="706"/>
      <c r="T24" s="705"/>
      <c r="U24" s="706"/>
      <c r="V24" s="705"/>
      <c r="W24" s="706"/>
      <c r="X24" s="1354"/>
      <c r="Y24" s="3735"/>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5"/>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2"/>
      <c r="Q26" s="1351" t="str">
        <f t="shared" si="11"/>
        <v>朝向</v>
      </c>
      <c r="R26" s="705" t="s">
        <v>18</v>
      </c>
      <c r="S26" s="706">
        <f t="shared" si="12"/>
        <v>100</v>
      </c>
      <c r="T26" s="705" t="s">
        <v>18</v>
      </c>
      <c r="U26" s="706">
        <f t="shared" si="13"/>
        <v>100</v>
      </c>
      <c r="V26" s="705" t="s">
        <v>18</v>
      </c>
      <c r="W26" s="706">
        <f t="shared" si="14"/>
        <v>100</v>
      </c>
      <c r="X26" s="1354"/>
      <c r="Y26" s="373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2"/>
      <c r="Q27" s="1342">
        <f t="shared" si="11"/>
        <v>111</v>
      </c>
      <c r="R27" s="701" t="s">
        <v>18</v>
      </c>
      <c r="S27" s="702">
        <f t="shared" si="12"/>
        <v>100</v>
      </c>
      <c r="T27" s="701" t="s">
        <v>18</v>
      </c>
      <c r="U27" s="702">
        <f t="shared" si="13"/>
        <v>100</v>
      </c>
      <c r="V27" s="701" t="s">
        <v>18</v>
      </c>
      <c r="W27" s="702">
        <f t="shared" si="14"/>
        <v>100</v>
      </c>
      <c r="X27" s="703"/>
      <c r="Y27" s="373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2"/>
      <c r="Q28" s="1351">
        <f t="shared" si="11"/>
        <v>111</v>
      </c>
      <c r="R28" s="705" t="s">
        <v>18</v>
      </c>
      <c r="S28" s="706">
        <f t="shared" si="12"/>
        <v>100</v>
      </c>
      <c r="T28" s="705" t="s">
        <v>18</v>
      </c>
      <c r="U28" s="706">
        <f t="shared" si="13"/>
        <v>100</v>
      </c>
      <c r="V28" s="705" t="s">
        <v>18</v>
      </c>
      <c r="W28" s="706">
        <f t="shared" si="14"/>
        <v>100</v>
      </c>
      <c r="X28" s="1354"/>
      <c r="Y28" s="373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2"/>
      <c r="Q29" s="1351">
        <f t="shared" si="11"/>
        <v>111</v>
      </c>
      <c r="R29" s="705" t="s">
        <v>18</v>
      </c>
      <c r="S29" s="706">
        <f t="shared" si="12"/>
        <v>100</v>
      </c>
      <c r="T29" s="705" t="s">
        <v>18</v>
      </c>
      <c r="U29" s="706">
        <f t="shared" si="13"/>
        <v>100</v>
      </c>
      <c r="V29" s="705" t="s">
        <v>18</v>
      </c>
      <c r="W29" s="706">
        <f t="shared" si="14"/>
        <v>100</v>
      </c>
      <c r="X29" s="1354"/>
      <c r="Y29" s="373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2"/>
      <c r="Q30" s="1351">
        <f t="shared" si="11"/>
        <v>111</v>
      </c>
      <c r="R30" s="705" t="s">
        <v>18</v>
      </c>
      <c r="S30" s="706">
        <f t="shared" si="12"/>
        <v>100</v>
      </c>
      <c r="T30" s="705" t="s">
        <v>18</v>
      </c>
      <c r="U30" s="706">
        <f t="shared" si="13"/>
        <v>100</v>
      </c>
      <c r="V30" s="705" t="s">
        <v>18</v>
      </c>
      <c r="W30" s="706">
        <f t="shared" si="14"/>
        <v>100</v>
      </c>
      <c r="X30" s="1354"/>
      <c r="Y30" s="373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2"/>
      <c r="Q31" s="1351">
        <f t="shared" si="11"/>
        <v>111</v>
      </c>
      <c r="R31" s="705" t="s">
        <v>18</v>
      </c>
      <c r="S31" s="706">
        <f t="shared" si="12"/>
        <v>100</v>
      </c>
      <c r="T31" s="705" t="s">
        <v>18</v>
      </c>
      <c r="U31" s="706">
        <f t="shared" si="13"/>
        <v>100</v>
      </c>
      <c r="V31" s="705" t="s">
        <v>18</v>
      </c>
      <c r="W31" s="706">
        <f t="shared" si="14"/>
        <v>100</v>
      </c>
      <c r="X31" s="1354"/>
      <c r="Y31" s="3735"/>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6" t="s">
        <v>1693</v>
      </c>
      <c r="Q32" s="1351" t="str">
        <f t="shared" si="11"/>
        <v>建筑类型</v>
      </c>
      <c r="R32" s="705" t="s">
        <v>18</v>
      </c>
      <c r="S32" s="706">
        <f t="shared" si="12"/>
        <v>100</v>
      </c>
      <c r="T32" s="705" t="s">
        <v>18</v>
      </c>
      <c r="U32" s="706">
        <f t="shared" si="13"/>
        <v>100</v>
      </c>
      <c r="V32" s="705" t="s">
        <v>18</v>
      </c>
      <c r="W32" s="706">
        <f t="shared" si="14"/>
        <v>100</v>
      </c>
      <c r="X32" s="1354"/>
      <c r="Y32" s="3739"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7"/>
      <c r="Q33" s="707" t="str">
        <f t="shared" si="11"/>
        <v>项目建筑规模</v>
      </c>
      <c r="R33" s="708" t="s">
        <v>18</v>
      </c>
      <c r="S33" s="709" t="e">
        <f t="shared" si="12"/>
        <v>#N/A</v>
      </c>
      <c r="T33" s="708" t="s">
        <v>18</v>
      </c>
      <c r="U33" s="709" t="e">
        <f t="shared" si="13"/>
        <v>#N/A</v>
      </c>
      <c r="V33" s="708" t="s">
        <v>18</v>
      </c>
      <c r="W33" s="709" t="e">
        <f t="shared" si="14"/>
        <v>#N/A</v>
      </c>
      <c r="X33" s="710"/>
      <c r="Y33" s="3739"/>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7"/>
      <c r="Q34" s="1351" t="str">
        <f t="shared" si="11"/>
        <v>建筑结构</v>
      </c>
      <c r="R34" s="705" t="s">
        <v>18</v>
      </c>
      <c r="S34" s="706">
        <f t="shared" si="12"/>
        <v>100</v>
      </c>
      <c r="T34" s="705" t="s">
        <v>18</v>
      </c>
      <c r="U34" s="706">
        <f t="shared" si="13"/>
        <v>100</v>
      </c>
      <c r="V34" s="705" t="s">
        <v>18</v>
      </c>
      <c r="W34" s="706">
        <f t="shared" si="14"/>
        <v>100</v>
      </c>
      <c r="X34" s="1354"/>
      <c r="Y34" s="3739"/>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7"/>
      <c r="Q35" s="1351" t="str">
        <f t="shared" si="11"/>
        <v>建筑品质</v>
      </c>
      <c r="R35" s="705" t="s">
        <v>18</v>
      </c>
      <c r="S35" s="706">
        <f t="shared" si="12"/>
        <v>100</v>
      </c>
      <c r="T35" s="705" t="s">
        <v>18</v>
      </c>
      <c r="U35" s="706">
        <f t="shared" si="13"/>
        <v>100</v>
      </c>
      <c r="V35" s="705" t="s">
        <v>18</v>
      </c>
      <c r="W35" s="706">
        <f t="shared" si="14"/>
        <v>100</v>
      </c>
      <c r="X35" s="1354"/>
      <c r="Y35" s="3739"/>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7"/>
      <c r="Q36" s="1351" t="str">
        <f t="shared" si="11"/>
        <v>公共部分装修</v>
      </c>
      <c r="R36" s="705" t="s">
        <v>18</v>
      </c>
      <c r="S36" s="706">
        <f t="shared" si="12"/>
        <v>100</v>
      </c>
      <c r="T36" s="705" t="s">
        <v>18</v>
      </c>
      <c r="U36" s="706">
        <f t="shared" si="13"/>
        <v>100</v>
      </c>
      <c r="V36" s="705" t="s">
        <v>18</v>
      </c>
      <c r="W36" s="706">
        <f t="shared" si="14"/>
        <v>100</v>
      </c>
      <c r="X36" s="1354"/>
      <c r="Y36" s="3739"/>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7"/>
      <c r="Q37" s="1342" t="str">
        <f t="shared" si="11"/>
        <v>成新度</v>
      </c>
      <c r="R37" s="701" t="s">
        <v>18</v>
      </c>
      <c r="S37" s="702" t="e">
        <f t="shared" si="12"/>
        <v>#N/A</v>
      </c>
      <c r="T37" s="701" t="s">
        <v>18</v>
      </c>
      <c r="U37" s="702" t="e">
        <f t="shared" si="13"/>
        <v>#N/A</v>
      </c>
      <c r="V37" s="701" t="s">
        <v>18</v>
      </c>
      <c r="W37" s="702" t="e">
        <f t="shared" si="14"/>
        <v>#N/A</v>
      </c>
      <c r="X37" s="703"/>
      <c r="Y37" s="3739"/>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7" t="s">
        <v>1693</v>
      </c>
      <c r="Q38" s="1351" t="str">
        <f t="shared" si="11"/>
        <v>物业管理</v>
      </c>
      <c r="R38" s="705" t="s">
        <v>18</v>
      </c>
      <c r="S38" s="706">
        <f t="shared" si="12"/>
        <v>100</v>
      </c>
      <c r="T38" s="705" t="s">
        <v>18</v>
      </c>
      <c r="U38" s="706">
        <f t="shared" si="13"/>
        <v>100</v>
      </c>
      <c r="V38" s="705" t="s">
        <v>18</v>
      </c>
      <c r="W38" s="706">
        <f t="shared" si="14"/>
        <v>100</v>
      </c>
      <c r="X38" s="1354"/>
      <c r="Y38" s="3739"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7"/>
      <c r="Q39" s="1351" t="str">
        <f t="shared" si="11"/>
        <v>市政基础设施</v>
      </c>
      <c r="R39" s="705" t="s">
        <v>18</v>
      </c>
      <c r="S39" s="706">
        <f t="shared" si="12"/>
        <v>100</v>
      </c>
      <c r="T39" s="705" t="s">
        <v>18</v>
      </c>
      <c r="U39" s="706">
        <f t="shared" si="13"/>
        <v>100</v>
      </c>
      <c r="V39" s="705" t="s">
        <v>18</v>
      </c>
      <c r="W39" s="706">
        <f t="shared" si="14"/>
        <v>100</v>
      </c>
      <c r="X39" s="1354"/>
      <c r="Y39" s="3739"/>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7"/>
      <c r="Q40" s="1351" t="str">
        <f t="shared" si="11"/>
        <v>房型</v>
      </c>
      <c r="R40" s="705" t="s">
        <v>18</v>
      </c>
      <c r="S40" s="706">
        <f t="shared" si="12"/>
        <v>100</v>
      </c>
      <c r="T40" s="705" t="s">
        <v>18</v>
      </c>
      <c r="U40" s="706">
        <f t="shared" si="13"/>
        <v>100</v>
      </c>
      <c r="V40" s="705" t="s">
        <v>18</v>
      </c>
      <c r="W40" s="706">
        <f t="shared" si="14"/>
        <v>100</v>
      </c>
      <c r="X40" s="1354"/>
      <c r="Y40" s="3739"/>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7"/>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7"/>
      <c r="Q42" s="1351" t="str">
        <f t="shared" si="11"/>
        <v>内部装修</v>
      </c>
      <c r="R42" s="705" t="s">
        <v>18</v>
      </c>
      <c r="S42" s="706">
        <f t="shared" si="12"/>
        <v>100</v>
      </c>
      <c r="T42" s="705" t="s">
        <v>18</v>
      </c>
      <c r="U42" s="706">
        <f t="shared" si="13"/>
        <v>100</v>
      </c>
      <c r="V42" s="705" t="s">
        <v>18</v>
      </c>
      <c r="W42" s="706">
        <f t="shared" si="14"/>
        <v>100</v>
      </c>
      <c r="X42" s="1354"/>
      <c r="Y42" s="3739"/>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7"/>
      <c r="Q43" s="1351" t="str">
        <f t="shared" si="11"/>
        <v>内部装修维护情况</v>
      </c>
      <c r="R43" s="705" t="s">
        <v>18</v>
      </c>
      <c r="S43" s="706">
        <f t="shared" si="12"/>
        <v>100</v>
      </c>
      <c r="T43" s="705" t="s">
        <v>18</v>
      </c>
      <c r="U43" s="706">
        <f t="shared" si="13"/>
        <v>100</v>
      </c>
      <c r="V43" s="705" t="s">
        <v>18</v>
      </c>
      <c r="W43" s="706">
        <f t="shared" si="14"/>
        <v>100</v>
      </c>
      <c r="X43" s="1354"/>
      <c r="Y43" s="373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7"/>
      <c r="Q44" s="1342">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7"/>
      <c r="Q45" s="1351">
        <f t="shared" si="11"/>
        <v>111</v>
      </c>
      <c r="R45" s="705" t="s">
        <v>18</v>
      </c>
      <c r="S45" s="706">
        <f t="shared" si="12"/>
        <v>100</v>
      </c>
      <c r="T45" s="705" t="s">
        <v>18</v>
      </c>
      <c r="U45" s="706">
        <f t="shared" si="13"/>
        <v>100</v>
      </c>
      <c r="V45" s="705" t="s">
        <v>18</v>
      </c>
      <c r="W45" s="706">
        <f t="shared" si="14"/>
        <v>100</v>
      </c>
      <c r="X45" s="1354"/>
      <c r="Y45" s="373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8"/>
      <c r="Q46" s="1351">
        <f t="shared" si="11"/>
        <v>111</v>
      </c>
      <c r="R46" s="705" t="s">
        <v>17</v>
      </c>
      <c r="S46" s="706">
        <f t="shared" si="12"/>
        <v>100</v>
      </c>
      <c r="T46" s="705" t="s">
        <v>17</v>
      </c>
      <c r="U46" s="706">
        <f t="shared" si="13"/>
        <v>100</v>
      </c>
      <c r="V46" s="705" t="s">
        <v>17</v>
      </c>
      <c r="W46" s="706">
        <f t="shared" si="14"/>
        <v>100</v>
      </c>
      <c r="X46" s="1354"/>
      <c r="Y46" s="3740"/>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2"/>
      <c r="M47" s="2723"/>
      <c r="N47" s="2714"/>
      <c r="O47" s="2723"/>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75" thickBot="1">
      <c r="A48" s="437" t="s">
        <v>1706</v>
      </c>
      <c r="B48" s="438"/>
      <c r="C48" s="1160" t="e">
        <f>R49</f>
        <v>#DIV/0!</v>
      </c>
      <c r="D48" s="2316" t="s">
        <v>2135</v>
      </c>
      <c r="E48" s="1161" t="e">
        <f>R48</f>
        <v>#DIV/0!</v>
      </c>
      <c r="F48" s="2317"/>
      <c r="G48" s="1160" t="e">
        <f>T48</f>
        <v>#DIV/0!</v>
      </c>
      <c r="H48" s="2317"/>
      <c r="I48" s="1161" t="e">
        <f>V48</f>
        <v>#DIV/0!</v>
      </c>
      <c r="J48" s="2317"/>
      <c r="K48" s="2318">
        <f>F48+H48+J48</f>
        <v>0</v>
      </c>
      <c r="L48" s="2722"/>
      <c r="M48" s="2723"/>
      <c r="N48" s="2723"/>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1" priority="19" stopIfTrue="1" operator="containsText" text="超过">
      <formula>NOT(ISERROR(SEARCH("超过",F52)))</formula>
    </cfRule>
  </conditionalFormatting>
  <conditionalFormatting sqref="J54">
    <cfRule type="containsText" dxfId="190" priority="18" stopIfTrue="1" operator="containsText" text="超过">
      <formula>NOT(ISERROR(SEARCH("超过",J54)))</formula>
    </cfRule>
  </conditionalFormatting>
  <conditionalFormatting sqref="H54">
    <cfRule type="containsText" dxfId="189" priority="17" stopIfTrue="1" operator="containsText" text="超过">
      <formula>NOT(ISERROR(SEARCH("超过",H54)))</formula>
    </cfRule>
  </conditionalFormatting>
  <conditionalFormatting sqref="F54">
    <cfRule type="containsText" dxfId="188" priority="16" stopIfTrue="1" operator="containsText" text="超过">
      <formula>NOT(ISERROR(SEARCH("超过",F54)))</formula>
    </cfRule>
  </conditionalFormatting>
  <conditionalFormatting sqref="F53 H53 J53">
    <cfRule type="containsText" dxfId="187" priority="15" stopIfTrue="1" operator="containsText" text="超过">
      <formula>NOT(ISERROR(SEARCH("超过",F53)))</formula>
    </cfRule>
  </conditionalFormatting>
  <conditionalFormatting sqref="E52">
    <cfRule type="expression" dxfId="186" priority="14"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4"/>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36780.86</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51" t="s">
        <v>1772</v>
      </c>
      <c r="Q4" s="3752"/>
      <c r="R4" s="3757" t="s">
        <v>1768</v>
      </c>
      <c r="S4" s="3758"/>
      <c r="T4" s="3757" t="s">
        <v>1769</v>
      </c>
      <c r="U4" s="3758"/>
      <c r="V4" s="3763" t="s">
        <v>1770</v>
      </c>
      <c r="W4" s="3763"/>
      <c r="X4" s="1354"/>
      <c r="Y4" s="3757" t="s">
        <v>1772</v>
      </c>
      <c r="Z4" s="3758"/>
      <c r="AA4" s="3744" t="s">
        <v>1768</v>
      </c>
      <c r="AB4" s="3763" t="s">
        <v>1769</v>
      </c>
      <c r="AC4" s="3744" t="s">
        <v>1770</v>
      </c>
    </row>
    <row r="5" spans="1:29" ht="15">
      <c r="A5" s="358"/>
      <c r="B5" s="359"/>
      <c r="C5" s="3766" t="s">
        <v>1670</v>
      </c>
      <c r="D5" s="3767"/>
      <c r="E5" s="3773" t="s">
        <v>1671</v>
      </c>
      <c r="F5" s="3774"/>
      <c r="G5" s="3766" t="s">
        <v>1672</v>
      </c>
      <c r="H5" s="3767"/>
      <c r="I5" s="3766" t="s">
        <v>1673</v>
      </c>
      <c r="J5" s="3767"/>
      <c r="K5" s="559"/>
      <c r="L5" s="2713"/>
      <c r="M5" s="2714"/>
      <c r="N5" s="2714"/>
      <c r="O5" s="2714"/>
      <c r="P5" s="3753"/>
      <c r="Q5" s="3754"/>
      <c r="R5" s="3759"/>
      <c r="S5" s="3760"/>
      <c r="T5" s="3759"/>
      <c r="U5" s="3760"/>
      <c r="V5" s="3763"/>
      <c r="W5" s="3763"/>
      <c r="X5" s="1354"/>
      <c r="Y5" s="3759"/>
      <c r="Z5" s="3760"/>
      <c r="AA5" s="3745"/>
      <c r="AB5" s="3763"/>
      <c r="AC5" s="3745"/>
    </row>
    <row r="6" spans="1:29" ht="15.75" thickBot="1">
      <c r="A6" s="360"/>
      <c r="B6" s="361"/>
      <c r="C6" s="3764" t="s">
        <v>1674</v>
      </c>
      <c r="D6" s="3765"/>
      <c r="E6" s="3771" t="s">
        <v>1674</v>
      </c>
      <c r="F6" s="3772"/>
      <c r="G6" s="3764" t="s">
        <v>1674</v>
      </c>
      <c r="H6" s="3765"/>
      <c r="I6" s="3764" t="s">
        <v>1674</v>
      </c>
      <c r="J6" s="3765"/>
      <c r="K6" s="559" t="s">
        <v>1675</v>
      </c>
      <c r="L6" s="2713"/>
      <c r="M6" s="2714"/>
      <c r="N6" s="2714"/>
      <c r="O6" s="2714"/>
      <c r="P6" s="3755"/>
      <c r="Q6" s="3756"/>
      <c r="R6" s="3759"/>
      <c r="S6" s="3760"/>
      <c r="T6" s="3761"/>
      <c r="U6" s="3762"/>
      <c r="V6" s="3763"/>
      <c r="W6" s="3763"/>
      <c r="X6" s="1354"/>
      <c r="Y6" s="3761"/>
      <c r="Z6" s="3762"/>
      <c r="AA6" s="3746"/>
      <c r="AB6" s="3763"/>
      <c r="AC6" s="3746"/>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68" t="s">
        <v>1677</v>
      </c>
      <c r="Q7" s="3770"/>
      <c r="R7" s="701" t="s">
        <v>14</v>
      </c>
      <c r="S7" s="702">
        <f t="shared" ref="S7:S15" si="0">F7</f>
        <v>0</v>
      </c>
      <c r="T7" s="701" t="s">
        <v>14</v>
      </c>
      <c r="U7" s="702">
        <f t="shared" ref="U7:U15" si="1">H7</f>
        <v>0</v>
      </c>
      <c r="V7" s="701" t="s">
        <v>14</v>
      </c>
      <c r="W7" s="702">
        <f t="shared" ref="W7:W15" si="2">J7</f>
        <v>0</v>
      </c>
      <c r="X7" s="703"/>
      <c r="Y7" s="3768" t="s">
        <v>1677</v>
      </c>
      <c r="Z7" s="3769"/>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68" t="s">
        <v>1680</v>
      </c>
      <c r="Q8" s="3769"/>
      <c r="R8" s="701" t="s">
        <v>14</v>
      </c>
      <c r="S8" s="702">
        <f t="shared" si="0"/>
        <v>100</v>
      </c>
      <c r="T8" s="701" t="s">
        <v>14</v>
      </c>
      <c r="U8" s="702">
        <f t="shared" si="1"/>
        <v>100</v>
      </c>
      <c r="V8" s="701" t="s">
        <v>14</v>
      </c>
      <c r="W8" s="702">
        <f t="shared" si="2"/>
        <v>100</v>
      </c>
      <c r="X8" s="703"/>
      <c r="Y8" s="3768" t="s">
        <v>1680</v>
      </c>
      <c r="Z8" s="3769"/>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3" t="s">
        <v>1683</v>
      </c>
      <c r="Q9" s="1342" t="str">
        <f t="shared" ref="Q9:Q15" si="6">B9</f>
        <v>用途</v>
      </c>
      <c r="R9" s="701" t="s">
        <v>14</v>
      </c>
      <c r="S9" s="702">
        <f t="shared" si="0"/>
        <v>100</v>
      </c>
      <c r="T9" s="701" t="s">
        <v>14</v>
      </c>
      <c r="U9" s="702">
        <f t="shared" si="1"/>
        <v>100</v>
      </c>
      <c r="V9" s="701" t="s">
        <v>14</v>
      </c>
      <c r="W9" s="702">
        <f t="shared" si="2"/>
        <v>100</v>
      </c>
      <c r="X9" s="703"/>
      <c r="Y9" s="3607"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3"/>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3"/>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3"/>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3"/>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3"/>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1" t="s">
        <v>1688</v>
      </c>
      <c r="Q15" s="1351" t="str">
        <f t="shared" si="6"/>
        <v>商业繁华度</v>
      </c>
      <c r="R15" s="705" t="s">
        <v>14</v>
      </c>
      <c r="S15" s="706">
        <f t="shared" si="0"/>
        <v>100</v>
      </c>
      <c r="T15" s="705" t="s">
        <v>14</v>
      </c>
      <c r="U15" s="706">
        <f t="shared" si="1"/>
        <v>100</v>
      </c>
      <c r="V15" s="705" t="s">
        <v>14</v>
      </c>
      <c r="W15" s="706">
        <f t="shared" si="2"/>
        <v>100</v>
      </c>
      <c r="X15" s="1354"/>
      <c r="Y15" s="3734"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42"/>
      <c r="Q16" s="1351"/>
      <c r="R16" s="705"/>
      <c r="S16" s="706"/>
      <c r="T16" s="705"/>
      <c r="U16" s="706"/>
      <c r="V16" s="705"/>
      <c r="W16" s="706"/>
      <c r="X16" s="1354"/>
      <c r="Y16" s="3735"/>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2"/>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42"/>
      <c r="Q18" s="1351"/>
      <c r="R18" s="705"/>
      <c r="S18" s="706"/>
      <c r="T18" s="705"/>
      <c r="U18" s="706"/>
      <c r="V18" s="705"/>
      <c r="W18" s="706"/>
      <c r="X18" s="1354"/>
      <c r="Y18" s="3735"/>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2"/>
      <c r="Q19" s="1351" t="str">
        <f>B19</f>
        <v>公共配套设施</v>
      </c>
      <c r="R19" s="705" t="s">
        <v>14</v>
      </c>
      <c r="S19" s="706">
        <f>F19</f>
        <v>100</v>
      </c>
      <c r="T19" s="705" t="s">
        <v>14</v>
      </c>
      <c r="U19" s="706">
        <f>H19</f>
        <v>100</v>
      </c>
      <c r="V19" s="705" t="s">
        <v>14</v>
      </c>
      <c r="W19" s="706">
        <f>J19</f>
        <v>100</v>
      </c>
      <c r="X19" s="1354"/>
      <c r="Y19" s="373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42"/>
      <c r="Q20" s="1351"/>
      <c r="R20" s="705"/>
      <c r="S20" s="706"/>
      <c r="T20" s="705"/>
      <c r="U20" s="706"/>
      <c r="V20" s="705"/>
      <c r="W20" s="706"/>
      <c r="X20" s="1354"/>
      <c r="Y20" s="3735"/>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2"/>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42"/>
      <c r="Q22" s="1351"/>
      <c r="R22" s="705"/>
      <c r="S22" s="706"/>
      <c r="T22" s="705"/>
      <c r="U22" s="706"/>
      <c r="V22" s="705"/>
      <c r="W22" s="706"/>
      <c r="X22" s="1354"/>
      <c r="Y22" s="3735"/>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2"/>
      <c r="Q23" s="1351" t="str">
        <f>B23</f>
        <v>自然及人文环境</v>
      </c>
      <c r="R23" s="705" t="s">
        <v>14</v>
      </c>
      <c r="S23" s="706">
        <f>F23</f>
        <v>100</v>
      </c>
      <c r="T23" s="705" t="s">
        <v>14</v>
      </c>
      <c r="U23" s="706">
        <f>H23</f>
        <v>100</v>
      </c>
      <c r="V23" s="705" t="s">
        <v>14</v>
      </c>
      <c r="W23" s="706">
        <f>J23</f>
        <v>100</v>
      </c>
      <c r="X23" s="1354"/>
      <c r="Y23" s="373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42"/>
      <c r="Q24" s="1351"/>
      <c r="R24" s="705"/>
      <c r="S24" s="706"/>
      <c r="T24" s="705"/>
      <c r="U24" s="706"/>
      <c r="V24" s="705"/>
      <c r="W24" s="706"/>
      <c r="X24" s="1354"/>
      <c r="Y24" s="3735"/>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2"/>
      <c r="Q25" s="1351" t="str">
        <f t="shared" ref="Q25:Q46" si="11">B25</f>
        <v>临街状况</v>
      </c>
      <c r="R25" s="705" t="s">
        <v>14</v>
      </c>
      <c r="S25" s="706">
        <f>F25</f>
        <v>100</v>
      </c>
      <c r="T25" s="705" t="s">
        <v>14</v>
      </c>
      <c r="U25" s="706">
        <f>H25</f>
        <v>100</v>
      </c>
      <c r="V25" s="705" t="s">
        <v>14</v>
      </c>
      <c r="W25" s="706">
        <f>J25</f>
        <v>100</v>
      </c>
      <c r="X25" s="1354"/>
      <c r="Y25" s="3735"/>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2"/>
      <c r="Q26" s="1351" t="str">
        <f t="shared" si="11"/>
        <v>平面位置/可视性</v>
      </c>
      <c r="R26" s="705" t="s">
        <v>14</v>
      </c>
      <c r="S26" s="706">
        <f>F26</f>
        <v>100</v>
      </c>
      <c r="T26" s="705" t="s">
        <v>14</v>
      </c>
      <c r="U26" s="706">
        <f>H26</f>
        <v>100</v>
      </c>
      <c r="V26" s="705" t="s">
        <v>14</v>
      </c>
      <c r="W26" s="706">
        <f>J26</f>
        <v>100</v>
      </c>
      <c r="X26" s="1354"/>
      <c r="Y26" s="3735"/>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2"/>
      <c r="Q27" s="1342" t="str">
        <f t="shared" si="11"/>
        <v>人流量</v>
      </c>
      <c r="R27" s="701" t="s">
        <v>14</v>
      </c>
      <c r="S27" s="702">
        <f>F27</f>
        <v>100</v>
      </c>
      <c r="T27" s="701" t="s">
        <v>14</v>
      </c>
      <c r="U27" s="702">
        <f>H27</f>
        <v>100</v>
      </c>
      <c r="V27" s="701" t="s">
        <v>14</v>
      </c>
      <c r="W27" s="702">
        <f>J27</f>
        <v>100</v>
      </c>
      <c r="X27" s="703"/>
      <c r="Y27" s="3735"/>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2"/>
      <c r="Q29" s="1351">
        <f t="shared" si="11"/>
        <v>111</v>
      </c>
      <c r="R29" s="705" t="s">
        <v>14</v>
      </c>
      <c r="S29" s="706">
        <f t="shared" si="12"/>
        <v>100</v>
      </c>
      <c r="T29" s="705" t="s">
        <v>14</v>
      </c>
      <c r="U29" s="706">
        <f t="shared" si="13"/>
        <v>100</v>
      </c>
      <c r="V29" s="705" t="s">
        <v>14</v>
      </c>
      <c r="W29" s="706">
        <f t="shared" si="14"/>
        <v>100</v>
      </c>
      <c r="X29" s="1354"/>
      <c r="Y29" s="373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2"/>
      <c r="Q30" s="1351">
        <f t="shared" si="11"/>
        <v>111</v>
      </c>
      <c r="R30" s="705" t="s">
        <v>14</v>
      </c>
      <c r="S30" s="706">
        <f t="shared" si="12"/>
        <v>100</v>
      </c>
      <c r="T30" s="705" t="s">
        <v>14</v>
      </c>
      <c r="U30" s="706">
        <f t="shared" si="13"/>
        <v>100</v>
      </c>
      <c r="V30" s="705" t="s">
        <v>14</v>
      </c>
      <c r="W30" s="706">
        <f t="shared" si="14"/>
        <v>100</v>
      </c>
      <c r="X30" s="1354"/>
      <c r="Y30" s="373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2"/>
      <c r="Q31" s="1351">
        <f t="shared" si="11"/>
        <v>111</v>
      </c>
      <c r="R31" s="705" t="s">
        <v>14</v>
      </c>
      <c r="S31" s="706">
        <f t="shared" si="12"/>
        <v>100</v>
      </c>
      <c r="T31" s="705" t="s">
        <v>14</v>
      </c>
      <c r="U31" s="706">
        <f t="shared" si="13"/>
        <v>100</v>
      </c>
      <c r="V31" s="705" t="s">
        <v>14</v>
      </c>
      <c r="W31" s="706">
        <f t="shared" si="14"/>
        <v>100</v>
      </c>
      <c r="X31" s="1354"/>
      <c r="Y31" s="3735"/>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6" t="s">
        <v>1693</v>
      </c>
      <c r="Q32" s="1351" t="str">
        <f t="shared" si="11"/>
        <v>商业类型</v>
      </c>
      <c r="R32" s="705" t="s">
        <v>14</v>
      </c>
      <c r="S32" s="706">
        <f t="shared" si="12"/>
        <v>100</v>
      </c>
      <c r="T32" s="705" t="s">
        <v>14</v>
      </c>
      <c r="U32" s="706">
        <f t="shared" si="13"/>
        <v>100</v>
      </c>
      <c r="V32" s="705" t="s">
        <v>14</v>
      </c>
      <c r="W32" s="706">
        <f t="shared" si="14"/>
        <v>100</v>
      </c>
      <c r="X32" s="1354"/>
      <c r="Y32" s="3739"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7"/>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7"/>
      <c r="Q34" s="1351" t="str">
        <f t="shared" si="11"/>
        <v>建筑结构</v>
      </c>
      <c r="R34" s="705" t="s">
        <v>14</v>
      </c>
      <c r="S34" s="706">
        <f t="shared" si="12"/>
        <v>100</v>
      </c>
      <c r="T34" s="705" t="s">
        <v>14</v>
      </c>
      <c r="U34" s="706">
        <f t="shared" si="13"/>
        <v>100</v>
      </c>
      <c r="V34" s="705" t="s">
        <v>14</v>
      </c>
      <c r="W34" s="706">
        <f t="shared" si="14"/>
        <v>100</v>
      </c>
      <c r="X34" s="1354"/>
      <c r="Y34" s="3739"/>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7"/>
      <c r="Q35" s="1351" t="str">
        <f t="shared" si="11"/>
        <v>公共部分装修</v>
      </c>
      <c r="R35" s="705" t="s">
        <v>14</v>
      </c>
      <c r="S35" s="706">
        <f t="shared" si="12"/>
        <v>100</v>
      </c>
      <c r="T35" s="705" t="s">
        <v>14</v>
      </c>
      <c r="U35" s="706">
        <f t="shared" si="13"/>
        <v>100</v>
      </c>
      <c r="V35" s="705" t="s">
        <v>14</v>
      </c>
      <c r="W35" s="706">
        <f t="shared" si="14"/>
        <v>100</v>
      </c>
      <c r="X35" s="1354"/>
      <c r="Y35" s="3739"/>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7"/>
      <c r="Q36" s="1351" t="str">
        <f t="shared" si="11"/>
        <v>成新度</v>
      </c>
      <c r="R36" s="705" t="s">
        <v>14</v>
      </c>
      <c r="S36" s="706" t="e">
        <f t="shared" si="12"/>
        <v>#N/A</v>
      </c>
      <c r="T36" s="705" t="s">
        <v>14</v>
      </c>
      <c r="U36" s="706" t="e">
        <f t="shared" si="13"/>
        <v>#N/A</v>
      </c>
      <c r="V36" s="705" t="s">
        <v>14</v>
      </c>
      <c r="W36" s="706" t="e">
        <f t="shared" si="14"/>
        <v>#N/A</v>
      </c>
      <c r="X36" s="1354"/>
      <c r="Y36" s="3739"/>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7"/>
      <c r="Q37" s="1342"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7" t="s">
        <v>1693</v>
      </c>
      <c r="Q38" s="1351" t="str">
        <f t="shared" si="11"/>
        <v>业态</v>
      </c>
      <c r="R38" s="705" t="s">
        <v>14</v>
      </c>
      <c r="S38" s="706">
        <f t="shared" si="12"/>
        <v>100</v>
      </c>
      <c r="T38" s="705" t="s">
        <v>14</v>
      </c>
      <c r="U38" s="706">
        <f t="shared" si="13"/>
        <v>100</v>
      </c>
      <c r="V38" s="705" t="s">
        <v>14</v>
      </c>
      <c r="W38" s="706">
        <f t="shared" si="14"/>
        <v>100</v>
      </c>
      <c r="X38" s="1354"/>
      <c r="Y38" s="3739"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7"/>
      <c r="Q39" s="1351" t="str">
        <f t="shared" si="11"/>
        <v>层高</v>
      </c>
      <c r="R39" s="705" t="s">
        <v>14</v>
      </c>
      <c r="S39" s="706">
        <f t="shared" si="12"/>
        <v>100</v>
      </c>
      <c r="T39" s="705" t="s">
        <v>14</v>
      </c>
      <c r="U39" s="706">
        <f t="shared" si="13"/>
        <v>100</v>
      </c>
      <c r="V39" s="705" t="s">
        <v>14</v>
      </c>
      <c r="W39" s="706">
        <f t="shared" si="14"/>
        <v>100</v>
      </c>
      <c r="X39" s="1354"/>
      <c r="Y39" s="3739"/>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7"/>
      <c r="Q40" s="1351" t="str">
        <f t="shared" si="11"/>
        <v>单套建筑面积</v>
      </c>
      <c r="R40" s="705" t="s">
        <v>14</v>
      </c>
      <c r="S40" s="706">
        <f t="shared" si="12"/>
        <v>100</v>
      </c>
      <c r="T40" s="705" t="s">
        <v>14</v>
      </c>
      <c r="U40" s="706">
        <f t="shared" si="13"/>
        <v>100</v>
      </c>
      <c r="V40" s="705" t="s">
        <v>14</v>
      </c>
      <c r="W40" s="706">
        <f t="shared" si="14"/>
        <v>100</v>
      </c>
      <c r="X40" s="1354"/>
      <c r="Y40" s="3739"/>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7"/>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7"/>
      <c r="Q42" s="1351" t="str">
        <f t="shared" si="11"/>
        <v>内部装修</v>
      </c>
      <c r="R42" s="705" t="s">
        <v>14</v>
      </c>
      <c r="S42" s="706">
        <f t="shared" si="12"/>
        <v>100</v>
      </c>
      <c r="T42" s="705" t="s">
        <v>14</v>
      </c>
      <c r="U42" s="706">
        <f t="shared" si="13"/>
        <v>100</v>
      </c>
      <c r="V42" s="705" t="s">
        <v>14</v>
      </c>
      <c r="W42" s="706">
        <f t="shared" si="14"/>
        <v>100</v>
      </c>
      <c r="X42" s="1354"/>
      <c r="Y42" s="3739"/>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7"/>
      <c r="Q43" s="1351" t="str">
        <f t="shared" si="11"/>
        <v>内部装修维护情况</v>
      </c>
      <c r="R43" s="705" t="s">
        <v>14</v>
      </c>
      <c r="S43" s="706">
        <f t="shared" si="12"/>
        <v>100</v>
      </c>
      <c r="T43" s="705" t="s">
        <v>14</v>
      </c>
      <c r="U43" s="706">
        <f t="shared" si="13"/>
        <v>100</v>
      </c>
      <c r="V43" s="705" t="s">
        <v>14</v>
      </c>
      <c r="W43" s="706">
        <f t="shared" si="14"/>
        <v>100</v>
      </c>
      <c r="X43" s="1354"/>
      <c r="Y43" s="373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7"/>
      <c r="Q44" s="1342">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7"/>
      <c r="Q45" s="1351">
        <f t="shared" si="11"/>
        <v>111</v>
      </c>
      <c r="R45" s="705" t="s">
        <v>14</v>
      </c>
      <c r="S45" s="706">
        <f t="shared" si="12"/>
        <v>100</v>
      </c>
      <c r="T45" s="705" t="s">
        <v>14</v>
      </c>
      <c r="U45" s="706">
        <f t="shared" si="13"/>
        <v>100</v>
      </c>
      <c r="V45" s="705" t="s">
        <v>14</v>
      </c>
      <c r="W45" s="706">
        <f t="shared" si="14"/>
        <v>100</v>
      </c>
      <c r="X45" s="1354"/>
      <c r="Y45" s="373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8"/>
      <c r="Q46" s="1351">
        <f t="shared" si="11"/>
        <v>111</v>
      </c>
      <c r="R46" s="705" t="s">
        <v>14</v>
      </c>
      <c r="S46" s="706">
        <f t="shared" si="12"/>
        <v>100</v>
      </c>
      <c r="T46" s="705" t="s">
        <v>14</v>
      </c>
      <c r="U46" s="706">
        <f t="shared" si="13"/>
        <v>100</v>
      </c>
      <c r="V46" s="705" t="s">
        <v>14</v>
      </c>
      <c r="W46" s="706">
        <f t="shared" si="14"/>
        <v>100</v>
      </c>
      <c r="X46" s="1354"/>
      <c r="Y46" s="3740"/>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2"/>
      <c r="M47" s="2723"/>
      <c r="N47" s="2714"/>
      <c r="O47" s="2723"/>
      <c r="P47" s="3732" t="str">
        <f>A47</f>
        <v>成交单价（元/平方米）</v>
      </c>
      <c r="Q47" s="3732"/>
      <c r="R47" s="3763">
        <f>E47</f>
        <v>0</v>
      </c>
      <c r="S47" s="3763"/>
      <c r="T47" s="3763">
        <f>G47</f>
        <v>0</v>
      </c>
      <c r="U47" s="3763"/>
      <c r="V47" s="3763">
        <f>I47</f>
        <v>0</v>
      </c>
      <c r="W47" s="3763"/>
      <c r="X47" s="690"/>
      <c r="Y47" s="712"/>
      <c r="Z47" s="690"/>
      <c r="AA47" s="690"/>
      <c r="AB47" s="690"/>
      <c r="AC47" s="690"/>
    </row>
    <row r="48" spans="1:29" ht="15.75" thickBot="1">
      <c r="A48" s="437" t="s">
        <v>1790</v>
      </c>
      <c r="B48" s="438"/>
      <c r="C48" s="1160" t="e">
        <f>R49</f>
        <v>#DIV/0!</v>
      </c>
      <c r="D48" s="2316" t="s">
        <v>2135</v>
      </c>
      <c r="E48" s="1161" t="e">
        <f>R48</f>
        <v>#DIV/0!</v>
      </c>
      <c r="F48" s="2317"/>
      <c r="G48" s="1160" t="e">
        <f>T48</f>
        <v>#DIV/0!</v>
      </c>
      <c r="H48" s="2317"/>
      <c r="I48" s="1161" t="e">
        <f>V48</f>
        <v>#DIV/0!</v>
      </c>
      <c r="J48" s="2317"/>
      <c r="K48" s="2319">
        <f>F48+H48+J48</f>
        <v>0</v>
      </c>
      <c r="L48" s="2722"/>
      <c r="M48" s="2723"/>
      <c r="N48" s="2714"/>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1795</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1676</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1685</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1687</v>
      </c>
      <c r="B76" s="477" t="s">
        <v>1717</v>
      </c>
      <c r="C76" s="522" t="s">
        <v>1718</v>
      </c>
      <c r="D76" s="522" t="s">
        <v>1719</v>
      </c>
      <c r="E76" s="522" t="s">
        <v>1720</v>
      </c>
      <c r="F76" s="522" t="s">
        <v>1721</v>
      </c>
      <c r="G76" s="522" t="s">
        <v>1722</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1723</v>
      </c>
      <c r="C78" s="527" t="s">
        <v>1718</v>
      </c>
      <c r="D78" s="527" t="s">
        <v>1719</v>
      </c>
      <c r="E78" s="527" t="s">
        <v>1720</v>
      </c>
      <c r="F78" s="527" t="s">
        <v>1721</v>
      </c>
      <c r="G78" s="527" t="s">
        <v>1722</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1724</v>
      </c>
      <c r="C80" s="527" t="s">
        <v>1718</v>
      </c>
      <c r="D80" s="527" t="s">
        <v>1719</v>
      </c>
      <c r="E80" s="527" t="s">
        <v>1720</v>
      </c>
      <c r="F80" s="527" t="s">
        <v>1721</v>
      </c>
      <c r="G80" s="527" t="s">
        <v>1722</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1776</v>
      </c>
      <c r="C82" s="608" t="s">
        <v>1796</v>
      </c>
      <c r="D82" s="608" t="s">
        <v>1797</v>
      </c>
      <c r="E82" s="608" t="s">
        <v>1798</v>
      </c>
      <c r="F82" s="608" t="s">
        <v>1799</v>
      </c>
      <c r="G82" s="608" t="s">
        <v>1800</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1730</v>
      </c>
      <c r="C84" s="527" t="s">
        <v>1718</v>
      </c>
      <c r="D84" s="527" t="s">
        <v>1719</v>
      </c>
      <c r="E84" s="527" t="s">
        <v>1720</v>
      </c>
      <c r="F84" s="527" t="s">
        <v>1721</v>
      </c>
      <c r="G84" s="527" t="s">
        <v>1722</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1801</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1691</v>
      </c>
      <c r="B100" s="477" t="s">
        <v>1802</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1735</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1737</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1739</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1803</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1804</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1805</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1806</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1741</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3" priority="21" stopIfTrue="1" operator="containsText" text="超过">
      <formula>NOT(ISERROR(SEARCH("超过",F52)))</formula>
    </cfRule>
  </conditionalFormatting>
  <conditionalFormatting sqref="H54">
    <cfRule type="containsText" dxfId="172" priority="19" stopIfTrue="1" operator="containsText" text="超过">
      <formula>NOT(ISERROR(SEARCH("超过",H54)))</formula>
    </cfRule>
  </conditionalFormatting>
  <conditionalFormatting sqref="F54">
    <cfRule type="containsText" dxfId="171" priority="18" stopIfTrue="1" operator="containsText" text="超过">
      <formula>NOT(ISERROR(SEARCH("超过",F54)))</formula>
    </cfRule>
  </conditionalFormatting>
  <conditionalFormatting sqref="F53 H53">
    <cfRule type="containsText" dxfId="170" priority="17" stopIfTrue="1" operator="containsText" text="超过">
      <formula>NOT(ISERROR(SEARCH("超过",F53)))</formula>
    </cfRule>
  </conditionalFormatting>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G54">
    <cfRule type="expression" dxfId="166" priority="13" stopIfTrue="1">
      <formula>$H$54="超过30%"</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J52">
    <cfRule type="containsText" dxfId="163" priority="10" stopIfTrue="1" operator="containsText" text="超过">
      <formula>NOT(ISERROR(SEARCH("超过",J52)))</formula>
    </cfRule>
  </conditionalFormatting>
  <conditionalFormatting sqref="J54">
    <cfRule type="containsText" dxfId="162" priority="9" stopIfTrue="1" operator="containsText" text="超过">
      <formula>NOT(ISERROR(SEARCH("超过",J54)))</formula>
    </cfRule>
  </conditionalFormatting>
  <conditionalFormatting sqref="J53">
    <cfRule type="containsText" dxfId="161" priority="8" stopIfTrue="1" operator="containsText" text="超过">
      <formula>NOT(ISERROR(SEARCH("超过",J53)))</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K39" sqref="K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3645</v>
      </c>
      <c r="E1" s="3431"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29610</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25775</v>
      </c>
      <c r="C3" s="354" t="s">
        <v>1765</v>
      </c>
      <c r="D3" s="353">
        <f>IF(D1="",'数据-汇总表'!E3,SUMIF('数据-汇总表'!$C19:$C33,D1,'数据-汇总表'!$E19:$E33))</f>
        <v>11487.92</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81" t="s">
        <v>1772</v>
      </c>
      <c r="Q4" s="3782"/>
      <c r="R4" s="3785" t="s">
        <v>1768</v>
      </c>
      <c r="S4" s="3786"/>
      <c r="T4" s="3785" t="s">
        <v>1769</v>
      </c>
      <c r="U4" s="3786"/>
      <c r="V4" s="3787" t="s">
        <v>1770</v>
      </c>
      <c r="W4" s="3787"/>
      <c r="X4" s="1957"/>
      <c r="Y4" s="3785" t="s">
        <v>1772</v>
      </c>
      <c r="Z4" s="3786"/>
      <c r="AA4" s="3791" t="s">
        <v>1768</v>
      </c>
      <c r="AB4" s="3791" t="s">
        <v>1769</v>
      </c>
      <c r="AC4" s="3778" t="s">
        <v>1770</v>
      </c>
    </row>
    <row r="5" spans="1:29" ht="15">
      <c r="A5" s="358"/>
      <c r="B5" s="359"/>
      <c r="C5" s="3790" t="s">
        <v>3667</v>
      </c>
      <c r="D5" s="3767"/>
      <c r="E5" s="3788" t="s">
        <v>3705</v>
      </c>
      <c r="F5" s="3774"/>
      <c r="G5" s="3788" t="s">
        <v>3705</v>
      </c>
      <c r="H5" s="3774"/>
      <c r="I5" s="3790" t="s">
        <v>3672</v>
      </c>
      <c r="J5" s="3767"/>
      <c r="K5" s="559"/>
      <c r="L5" s="2713"/>
      <c r="M5" s="2714"/>
      <c r="N5" s="2714"/>
      <c r="O5" s="2714"/>
      <c r="P5" s="3783"/>
      <c r="Q5" s="3754"/>
      <c r="R5" s="3759"/>
      <c r="S5" s="3760"/>
      <c r="T5" s="3759"/>
      <c r="U5" s="3760"/>
      <c r="V5" s="3763"/>
      <c r="W5" s="3763"/>
      <c r="X5" s="1354"/>
      <c r="Y5" s="3759"/>
      <c r="Z5" s="3760"/>
      <c r="AA5" s="3745"/>
      <c r="AB5" s="3745"/>
      <c r="AC5" s="3779"/>
    </row>
    <row r="6" spans="1:29" ht="15.75" thickBot="1">
      <c r="A6" s="360"/>
      <c r="B6" s="361"/>
      <c r="C6" s="3764" t="s">
        <v>1674</v>
      </c>
      <c r="D6" s="3765"/>
      <c r="E6" s="3771" t="s">
        <v>1674</v>
      </c>
      <c r="F6" s="3772"/>
      <c r="G6" s="3764" t="s">
        <v>1674</v>
      </c>
      <c r="H6" s="3765"/>
      <c r="I6" s="3764" t="s">
        <v>1674</v>
      </c>
      <c r="J6" s="3765"/>
      <c r="K6" s="559" t="s">
        <v>1675</v>
      </c>
      <c r="L6" s="2713"/>
      <c r="M6" s="2714"/>
      <c r="N6" s="2714"/>
      <c r="O6" s="2714"/>
      <c r="P6" s="3784"/>
      <c r="Q6" s="3756"/>
      <c r="R6" s="3759"/>
      <c r="S6" s="3760"/>
      <c r="T6" s="3761"/>
      <c r="U6" s="3762"/>
      <c r="V6" s="3763"/>
      <c r="W6" s="3763"/>
      <c r="X6" s="1354"/>
      <c r="Y6" s="3761"/>
      <c r="Z6" s="3762"/>
      <c r="AA6" s="3746"/>
      <c r="AB6" s="3746"/>
      <c r="AC6" s="3780"/>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5"/>
      <c r="M7" s="2716"/>
      <c r="N7" s="2716"/>
      <c r="O7" s="2716"/>
      <c r="P7" s="3789" t="s">
        <v>1677</v>
      </c>
      <c r="Q7" s="3770"/>
      <c r="R7" s="701" t="s">
        <v>14</v>
      </c>
      <c r="S7" s="702">
        <f t="shared" ref="S7:S15" si="0">F7</f>
        <v>100</v>
      </c>
      <c r="T7" s="701" t="s">
        <v>14</v>
      </c>
      <c r="U7" s="702">
        <f t="shared" ref="U7:U15" si="1">H7</f>
        <v>100</v>
      </c>
      <c r="V7" s="701" t="s">
        <v>14</v>
      </c>
      <c r="W7" s="702">
        <f t="shared" ref="W7:W15" si="2">J7</f>
        <v>100</v>
      </c>
      <c r="X7" s="703"/>
      <c r="Y7" s="3768" t="s">
        <v>1677</v>
      </c>
      <c r="Z7" s="3769"/>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5"/>
      <c r="M8" s="2716"/>
      <c r="N8" s="2716"/>
      <c r="O8" s="2716"/>
      <c r="P8" s="3789" t="s">
        <v>1680</v>
      </c>
      <c r="Q8" s="3769"/>
      <c r="R8" s="701" t="s">
        <v>14</v>
      </c>
      <c r="S8" s="702">
        <f t="shared" si="0"/>
        <v>100</v>
      </c>
      <c r="T8" s="701" t="s">
        <v>14</v>
      </c>
      <c r="U8" s="702">
        <f t="shared" si="1"/>
        <v>100</v>
      </c>
      <c r="V8" s="701" t="s">
        <v>14</v>
      </c>
      <c r="W8" s="702">
        <f t="shared" si="2"/>
        <v>100</v>
      </c>
      <c r="X8" s="703"/>
      <c r="Y8" s="3768" t="s">
        <v>1680</v>
      </c>
      <c r="Z8" s="3769"/>
      <c r="AA8" s="704">
        <f t="shared" ref="AA8:AA47" si="3">D8/F8</f>
        <v>1</v>
      </c>
      <c r="AB8" s="704">
        <f t="shared" ref="AB8:AB47" si="4">D8/H8</f>
        <v>1</v>
      </c>
      <c r="AC8" s="1958">
        <f t="shared" ref="AC8:AC47" si="5">D8/J8</f>
        <v>1</v>
      </c>
    </row>
    <row r="9" spans="1:29" s="108" customFormat="1" ht="15">
      <c r="A9" s="369" t="s">
        <v>1681</v>
      </c>
      <c r="B9" s="63" t="s">
        <v>1682</v>
      </c>
      <c r="C9" s="3504" t="s">
        <v>3668</v>
      </c>
      <c r="D9" s="126">
        <v>100</v>
      </c>
      <c r="E9" s="373" t="s">
        <v>21</v>
      </c>
      <c r="F9" s="126">
        <f>SUMIF(64:64,E9,65:65)-SUMIF(64:64,C9,65:65)+100</f>
        <v>108</v>
      </c>
      <c r="G9" s="373" t="s">
        <v>21</v>
      </c>
      <c r="H9" s="126">
        <f>SUMIF(64:64,G9,65:65)-SUMIF(64:64,C9,65:65)+100</f>
        <v>108</v>
      </c>
      <c r="I9" s="373" t="s">
        <v>21</v>
      </c>
      <c r="J9" s="126">
        <f>SUMIF(64:64,I9,65:65)-SUMIF(64:64,C9,65:65)+100</f>
        <v>108</v>
      </c>
      <c r="K9" s="560"/>
      <c r="L9" s="2715"/>
      <c r="M9" s="2716"/>
      <c r="N9" s="2716"/>
      <c r="O9" s="2716"/>
      <c r="P9" s="3743" t="s">
        <v>1683</v>
      </c>
      <c r="Q9" s="1342" t="str">
        <f t="shared" ref="Q9:Q15" si="6">B9</f>
        <v>用途</v>
      </c>
      <c r="R9" s="701" t="s">
        <v>14</v>
      </c>
      <c r="S9" s="702">
        <f t="shared" si="0"/>
        <v>108</v>
      </c>
      <c r="T9" s="701" t="s">
        <v>14</v>
      </c>
      <c r="U9" s="702">
        <f t="shared" si="1"/>
        <v>108</v>
      </c>
      <c r="V9" s="701" t="s">
        <v>14</v>
      </c>
      <c r="W9" s="702">
        <f t="shared" si="2"/>
        <v>108</v>
      </c>
      <c r="X9" s="703"/>
      <c r="Y9" s="3607" t="s">
        <v>1684</v>
      </c>
      <c r="Z9" s="52" t="str">
        <f t="shared" ref="Z9:Z15" si="7">Q9</f>
        <v>用途</v>
      </c>
      <c r="AA9" s="704">
        <f t="shared" si="3"/>
        <v>0.92592592592592593</v>
      </c>
      <c r="AB9" s="704">
        <f t="shared" si="4"/>
        <v>0.92592592592592593</v>
      </c>
      <c r="AC9" s="1958">
        <f t="shared" si="5"/>
        <v>0.92592592592592593</v>
      </c>
    </row>
    <row r="10" spans="1:29" s="378" customFormat="1" ht="27">
      <c r="A10" s="374"/>
      <c r="B10" s="375" t="s">
        <v>1685</v>
      </c>
      <c r="C10" s="3432" t="s">
        <v>3709</v>
      </c>
      <c r="D10" s="127">
        <v>100</v>
      </c>
      <c r="E10" s="3432" t="s">
        <v>3671</v>
      </c>
      <c r="F10" s="127">
        <f>SUMIF(66:66,E10,67:67)-SUMIF(66:66,C10,67:67)+100</f>
        <v>101</v>
      </c>
      <c r="G10" s="3432" t="s">
        <v>3671</v>
      </c>
      <c r="H10" s="127">
        <f>SUMIF(66:66,G10,67:67)-SUMIF(66:66,C10,67:67)+100</f>
        <v>101</v>
      </c>
      <c r="I10" s="3432" t="s">
        <v>3671</v>
      </c>
      <c r="J10" s="127">
        <f>SUMIF(66:66,I10,67:67)-SUMIF(66:66,C10,67:67)+100</f>
        <v>101</v>
      </c>
      <c r="K10" s="560"/>
      <c r="L10" s="2717"/>
      <c r="M10" s="2718"/>
      <c r="N10" s="2718"/>
      <c r="O10" s="2718"/>
      <c r="P10" s="3743"/>
      <c r="Q10" s="1342" t="str">
        <f t="shared" si="6"/>
        <v>土地使用年限（年）</v>
      </c>
      <c r="R10" s="701" t="s">
        <v>14</v>
      </c>
      <c r="S10" s="702">
        <f t="shared" si="0"/>
        <v>101</v>
      </c>
      <c r="T10" s="701" t="s">
        <v>14</v>
      </c>
      <c r="U10" s="702">
        <f t="shared" si="1"/>
        <v>101</v>
      </c>
      <c r="V10" s="701" t="s">
        <v>14</v>
      </c>
      <c r="W10" s="702">
        <f t="shared" si="2"/>
        <v>101</v>
      </c>
      <c r="X10" s="703"/>
      <c r="Y10" s="3607"/>
      <c r="Z10" s="52"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19"/>
      <c r="M11" s="2714"/>
      <c r="N11" s="2714"/>
      <c r="O11" s="2714"/>
      <c r="P11" s="3743"/>
      <c r="Q11" s="1342" t="str">
        <f t="shared" si="6"/>
        <v>容积率</v>
      </c>
      <c r="R11" s="701" t="s">
        <v>14</v>
      </c>
      <c r="S11" s="702">
        <f t="shared" si="0"/>
        <v>96</v>
      </c>
      <c r="T11" s="701" t="s">
        <v>14</v>
      </c>
      <c r="U11" s="702">
        <f t="shared" si="1"/>
        <v>96</v>
      </c>
      <c r="V11" s="701" t="s">
        <v>14</v>
      </c>
      <c r="W11" s="702">
        <f t="shared" si="2"/>
        <v>98</v>
      </c>
      <c r="X11" s="703"/>
      <c r="Y11" s="3607"/>
      <c r="Z11" s="52" t="str">
        <f t="shared" si="7"/>
        <v>容积率</v>
      </c>
      <c r="AA11" s="704">
        <f t="shared" si="3"/>
        <v>1.0416666666666667</v>
      </c>
      <c r="AB11" s="704">
        <f t="shared" si="4"/>
        <v>1.0416666666666667</v>
      </c>
      <c r="AC11" s="1958">
        <f t="shared" si="5"/>
        <v>1.0204081632653061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3"/>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3"/>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3"/>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0"/>
      <c r="M15" s="2714"/>
      <c r="N15" s="2714"/>
      <c r="O15" s="2714"/>
      <c r="P15" s="3741" t="s">
        <v>1688</v>
      </c>
      <c r="Q15" s="1351" t="str">
        <f t="shared" si="6"/>
        <v>办公集聚程度</v>
      </c>
      <c r="R15" s="705" t="s">
        <v>14</v>
      </c>
      <c r="S15" s="706">
        <f t="shared" si="0"/>
        <v>100</v>
      </c>
      <c r="T15" s="705" t="s">
        <v>14</v>
      </c>
      <c r="U15" s="706">
        <f t="shared" si="1"/>
        <v>100</v>
      </c>
      <c r="V15" s="705" t="s">
        <v>14</v>
      </c>
      <c r="W15" s="706">
        <f t="shared" si="2"/>
        <v>100</v>
      </c>
      <c r="X15" s="1354"/>
      <c r="Y15" s="3734" t="s">
        <v>1688</v>
      </c>
      <c r="Z15" s="1355" t="str">
        <f t="shared" si="7"/>
        <v>办公集聚程度</v>
      </c>
      <c r="AA15" s="1352">
        <f t="shared" si="3"/>
        <v>1</v>
      </c>
      <c r="AB15" s="1352">
        <f t="shared" si="4"/>
        <v>1</v>
      </c>
      <c r="AC15" s="1961">
        <f t="shared" si="5"/>
        <v>1</v>
      </c>
    </row>
    <row r="16" spans="1:29" ht="15">
      <c r="A16" s="379"/>
      <c r="B16" s="578"/>
      <c r="C16" s="1903" t="s">
        <v>3396</v>
      </c>
      <c r="D16" s="399"/>
      <c r="E16" s="398" t="s">
        <v>3396</v>
      </c>
      <c r="F16" s="399"/>
      <c r="G16" s="398" t="s">
        <v>3396</v>
      </c>
      <c r="H16" s="401"/>
      <c r="I16" s="398" t="s">
        <v>3396</v>
      </c>
      <c r="J16" s="399"/>
      <c r="K16" s="564"/>
      <c r="L16" s="2720"/>
      <c r="M16" s="2714"/>
      <c r="N16" s="2714"/>
      <c r="O16" s="2714"/>
      <c r="P16" s="3742"/>
      <c r="Q16" s="1351"/>
      <c r="R16" s="705"/>
      <c r="S16" s="706"/>
      <c r="T16" s="705"/>
      <c r="U16" s="706"/>
      <c r="V16" s="705"/>
      <c r="W16" s="706"/>
      <c r="X16" s="1354"/>
      <c r="Y16" s="3735"/>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20"/>
      <c r="M17" s="2714"/>
      <c r="N17" s="2714"/>
      <c r="O17" s="2714"/>
      <c r="P17" s="3742"/>
      <c r="Q17" s="1351" t="str">
        <f>B17</f>
        <v>交通便捷度</v>
      </c>
      <c r="R17" s="705" t="s">
        <v>14</v>
      </c>
      <c r="S17" s="706">
        <f>F17</f>
        <v>102</v>
      </c>
      <c r="T17" s="705" t="s">
        <v>14</v>
      </c>
      <c r="U17" s="706">
        <f>H17</f>
        <v>102</v>
      </c>
      <c r="V17" s="705" t="s">
        <v>14</v>
      </c>
      <c r="W17" s="706">
        <f>J17</f>
        <v>102</v>
      </c>
      <c r="X17" s="1354"/>
      <c r="Y17" s="3735"/>
      <c r="Z17" s="1355" t="str">
        <f>Q17</f>
        <v>交通便捷度</v>
      </c>
      <c r="AA17" s="1352">
        <f t="shared" si="3"/>
        <v>0.98039215686274506</v>
      </c>
      <c r="AB17" s="1352">
        <f t="shared" si="4"/>
        <v>0.98039215686274506</v>
      </c>
      <c r="AC17" s="1961">
        <f t="shared" si="5"/>
        <v>0.98039215686274506</v>
      </c>
    </row>
    <row r="18" spans="1:29" ht="15">
      <c r="A18" s="379"/>
      <c r="B18" s="580"/>
      <c r="C18" s="1963" t="s">
        <v>3396</v>
      </c>
      <c r="D18" s="401"/>
      <c r="E18" s="1901" t="s">
        <v>3612</v>
      </c>
      <c r="F18" s="401"/>
      <c r="G18" s="1901" t="s">
        <v>3612</v>
      </c>
      <c r="H18" s="399"/>
      <c r="I18" s="1901" t="s">
        <v>3612</v>
      </c>
      <c r="J18" s="399"/>
      <c r="K18" s="564"/>
      <c r="L18" s="2720"/>
      <c r="M18" s="2714"/>
      <c r="N18" s="2714"/>
      <c r="O18" s="2714"/>
      <c r="P18" s="3742"/>
      <c r="Q18" s="1351"/>
      <c r="R18" s="705"/>
      <c r="S18" s="706"/>
      <c r="T18" s="705"/>
      <c r="U18" s="706"/>
      <c r="V18" s="705"/>
      <c r="W18" s="706"/>
      <c r="X18" s="1354"/>
      <c r="Y18" s="3735"/>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102</v>
      </c>
      <c r="G19" s="408"/>
      <c r="H19" s="401">
        <f>SUMIF(81:81,G20,82:82)-SUMIF(81:81,C20,82:82)+100</f>
        <v>102</v>
      </c>
      <c r="I19" s="408"/>
      <c r="J19" s="401">
        <f>SUMIF(81:81,I20,82:82)-SUMIF(81:81,C20,82:82)+100</f>
        <v>102</v>
      </c>
      <c r="K19" s="563">
        <v>2</v>
      </c>
      <c r="L19" s="2720"/>
      <c r="M19" s="2714"/>
      <c r="N19" s="2714"/>
      <c r="O19" s="2714"/>
      <c r="P19" s="3742"/>
      <c r="Q19" s="1351" t="str">
        <f>B19</f>
        <v>公共配套设施</v>
      </c>
      <c r="R19" s="705" t="s">
        <v>14</v>
      </c>
      <c r="S19" s="706">
        <f>F19</f>
        <v>102</v>
      </c>
      <c r="T19" s="705" t="s">
        <v>14</v>
      </c>
      <c r="U19" s="706">
        <f>H19</f>
        <v>102</v>
      </c>
      <c r="V19" s="705" t="s">
        <v>14</v>
      </c>
      <c r="W19" s="706">
        <f>J19</f>
        <v>102</v>
      </c>
      <c r="X19" s="1354"/>
      <c r="Y19" s="3735"/>
      <c r="Z19" s="1355" t="str">
        <f>Q19</f>
        <v>公共配套设施</v>
      </c>
      <c r="AA19" s="1352">
        <f t="shared" si="3"/>
        <v>0.98039215686274506</v>
      </c>
      <c r="AB19" s="1352">
        <f t="shared" si="4"/>
        <v>0.98039215686274506</v>
      </c>
      <c r="AC19" s="1961">
        <f t="shared" si="5"/>
        <v>0.98039215686274506</v>
      </c>
    </row>
    <row r="20" spans="1:29" ht="15">
      <c r="A20" s="379"/>
      <c r="B20" s="580"/>
      <c r="C20" s="1903" t="s">
        <v>3396</v>
      </c>
      <c r="D20" s="399"/>
      <c r="E20" s="1896" t="s">
        <v>3612</v>
      </c>
      <c r="F20" s="399"/>
      <c r="G20" s="1896" t="s">
        <v>3612</v>
      </c>
      <c r="H20" s="399"/>
      <c r="I20" s="1896" t="s">
        <v>3612</v>
      </c>
      <c r="J20" s="399"/>
      <c r="K20" s="564"/>
      <c r="L20" s="2720"/>
      <c r="M20" s="2714"/>
      <c r="N20" s="2714"/>
      <c r="O20" s="2714"/>
      <c r="P20" s="3742"/>
      <c r="Q20" s="1351"/>
      <c r="R20" s="705"/>
      <c r="S20" s="706"/>
      <c r="T20" s="705"/>
      <c r="U20" s="706"/>
      <c r="V20" s="705"/>
      <c r="W20" s="706"/>
      <c r="X20" s="1354"/>
      <c r="Y20" s="3735"/>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42"/>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0"/>
      <c r="M22" s="2714"/>
      <c r="N22" s="2714"/>
      <c r="O22" s="2714"/>
      <c r="P22" s="3742"/>
      <c r="Q22" s="1351"/>
      <c r="R22" s="705"/>
      <c r="S22" s="706"/>
      <c r="T22" s="705"/>
      <c r="U22" s="706"/>
      <c r="V22" s="705"/>
      <c r="W22" s="706"/>
      <c r="X22" s="1354"/>
      <c r="Y22" s="3735"/>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20"/>
      <c r="M23" s="2714"/>
      <c r="N23" s="2714"/>
      <c r="O23" s="2714"/>
      <c r="P23" s="3742"/>
      <c r="Q23" s="1351" t="str">
        <f>B23</f>
        <v>环境质量</v>
      </c>
      <c r="R23" s="705" t="s">
        <v>14</v>
      </c>
      <c r="S23" s="706">
        <f>F23</f>
        <v>102</v>
      </c>
      <c r="T23" s="705" t="s">
        <v>14</v>
      </c>
      <c r="U23" s="706">
        <f>H23</f>
        <v>102</v>
      </c>
      <c r="V23" s="705" t="s">
        <v>14</v>
      </c>
      <c r="W23" s="706">
        <f>J23</f>
        <v>102</v>
      </c>
      <c r="X23" s="1354"/>
      <c r="Y23" s="3735"/>
      <c r="Z23" s="1355" t="str">
        <f>Q23</f>
        <v>环境质量</v>
      </c>
      <c r="AA23" s="1352">
        <f t="shared" si="3"/>
        <v>0.98039215686274506</v>
      </c>
      <c r="AB23" s="1352">
        <f t="shared" si="4"/>
        <v>0.98039215686274506</v>
      </c>
      <c r="AC23" s="1961">
        <f t="shared" si="5"/>
        <v>0.98039215686274506</v>
      </c>
    </row>
    <row r="24" spans="1:29" ht="15">
      <c r="A24" s="379"/>
      <c r="B24" s="581"/>
      <c r="C24" s="1903" t="s">
        <v>3396</v>
      </c>
      <c r="D24" s="399"/>
      <c r="E24" s="1896" t="s">
        <v>3612</v>
      </c>
      <c r="F24" s="399"/>
      <c r="G24" s="1896" t="s">
        <v>3612</v>
      </c>
      <c r="H24" s="399"/>
      <c r="I24" s="1896" t="s">
        <v>3612</v>
      </c>
      <c r="J24" s="399"/>
      <c r="K24" s="564"/>
      <c r="L24" s="2720"/>
      <c r="M24" s="2714"/>
      <c r="N24" s="2714"/>
      <c r="O24" s="2714"/>
      <c r="P24" s="3742"/>
      <c r="Q24" s="1351"/>
      <c r="R24" s="705"/>
      <c r="S24" s="706"/>
      <c r="T24" s="705"/>
      <c r="U24" s="706"/>
      <c r="V24" s="705"/>
      <c r="W24" s="706"/>
      <c r="X24" s="1354"/>
      <c r="Y24" s="3735"/>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0"/>
      <c r="M25" s="2714"/>
      <c r="N25" s="2714"/>
      <c r="O25" s="2714"/>
      <c r="P25" s="3742"/>
      <c r="Q25" s="1351" t="str">
        <f>B25</f>
        <v>毗邻道路的类型与等级</v>
      </c>
      <c r="R25" s="705" t="s">
        <v>14</v>
      </c>
      <c r="S25" s="706">
        <f>F25</f>
        <v>100</v>
      </c>
      <c r="T25" s="705" t="s">
        <v>14</v>
      </c>
      <c r="U25" s="706">
        <f>H25</f>
        <v>100</v>
      </c>
      <c r="V25" s="705" t="s">
        <v>14</v>
      </c>
      <c r="W25" s="706">
        <f>J25</f>
        <v>100</v>
      </c>
      <c r="X25" s="1354"/>
      <c r="Y25" s="373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0"/>
      <c r="M26" s="2714"/>
      <c r="N26" s="2714"/>
      <c r="O26" s="2714"/>
      <c r="P26" s="3742"/>
      <c r="Q26" s="1351"/>
      <c r="R26" s="705"/>
      <c r="S26" s="706"/>
      <c r="T26" s="705"/>
      <c r="U26" s="706"/>
      <c r="V26" s="705"/>
      <c r="W26" s="706"/>
      <c r="X26" s="1354"/>
      <c r="Y26" s="3735"/>
      <c r="Z26" s="1355"/>
      <c r="AA26" s="1352">
        <v>1</v>
      </c>
      <c r="AB26" s="1352">
        <v>1</v>
      </c>
      <c r="AC26" s="1961">
        <v>1</v>
      </c>
    </row>
    <row r="27" spans="1:29" ht="15.75" thickBot="1">
      <c r="A27" s="379"/>
      <c r="B27" s="580" t="s">
        <v>1780</v>
      </c>
      <c r="C27" s="582" t="s">
        <v>3673</v>
      </c>
      <c r="D27" s="386">
        <v>100</v>
      </c>
      <c r="E27" s="565" t="s">
        <v>3675</v>
      </c>
      <c r="F27" s="386">
        <f>SUMIF(89:89,E27,90:90)-SUMIF(89:89,C27,90:90)+100</f>
        <v>104</v>
      </c>
      <c r="G27" s="565" t="s">
        <v>3675</v>
      </c>
      <c r="H27" s="386">
        <f>SUMIF(89:89,G27,90:90)-SUMIF(89:89,C27,90:90)+100</f>
        <v>104</v>
      </c>
      <c r="I27" s="565" t="s">
        <v>3675</v>
      </c>
      <c r="J27" s="386">
        <f>SUMIF(89:89,I27,90:90)-SUMIF(89:89,C27,90:90)+100</f>
        <v>104</v>
      </c>
      <c r="K27" s="561">
        <v>4</v>
      </c>
      <c r="L27" s="2720"/>
      <c r="M27" s="2714"/>
      <c r="N27" s="2714"/>
      <c r="O27" s="2714"/>
      <c r="P27" s="3742"/>
      <c r="Q27" s="1351" t="str">
        <f t="shared" ref="Q27:Q47" si="11">B27</f>
        <v>楼层</v>
      </c>
      <c r="R27" s="705" t="s">
        <v>14</v>
      </c>
      <c r="S27" s="706">
        <f>F27</f>
        <v>104</v>
      </c>
      <c r="T27" s="705" t="s">
        <v>14</v>
      </c>
      <c r="U27" s="706">
        <f>H27</f>
        <v>104</v>
      </c>
      <c r="V27" s="705" t="s">
        <v>14</v>
      </c>
      <c r="W27" s="706">
        <f>J27</f>
        <v>104</v>
      </c>
      <c r="X27" s="1354"/>
      <c r="Y27" s="3735"/>
      <c r="Z27" s="1355" t="str">
        <f>Q27</f>
        <v>楼层</v>
      </c>
      <c r="AA27" s="1352">
        <f t="shared" si="3"/>
        <v>0.96153846153846156</v>
      </c>
      <c r="AB27" s="1352">
        <f t="shared" si="4"/>
        <v>0.96153846153846156</v>
      </c>
      <c r="AC27" s="1961">
        <f t="shared" si="5"/>
        <v>0.96153846153846156</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2"/>
      <c r="Q28" s="1342" t="str">
        <f t="shared" si="11"/>
        <v>朝向</v>
      </c>
      <c r="R28" s="701" t="s">
        <v>14</v>
      </c>
      <c r="S28" s="702">
        <f>F28</f>
        <v>100</v>
      </c>
      <c r="T28" s="701" t="s">
        <v>14</v>
      </c>
      <c r="U28" s="702">
        <f>H28</f>
        <v>100</v>
      </c>
      <c r="V28" s="701" t="s">
        <v>14</v>
      </c>
      <c r="W28" s="702">
        <f>J28</f>
        <v>100</v>
      </c>
      <c r="X28" s="703"/>
      <c r="Y28" s="373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2"/>
      <c r="Q29" s="1351">
        <f t="shared" si="11"/>
        <v>111</v>
      </c>
      <c r="R29" s="705" t="s">
        <v>14</v>
      </c>
      <c r="S29" s="706">
        <f t="shared" ref="S29:S47" si="12">F29</f>
        <v>100</v>
      </c>
      <c r="T29" s="705" t="s">
        <v>14</v>
      </c>
      <c r="U29" s="706">
        <f t="shared" ref="U29:U47" si="13">H29</f>
        <v>100</v>
      </c>
      <c r="V29" s="705" t="s">
        <v>14</v>
      </c>
      <c r="W29" s="706">
        <f t="shared" ref="W29:W47" si="14">J29</f>
        <v>100</v>
      </c>
      <c r="X29" s="1354"/>
      <c r="Y29" s="373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2"/>
      <c r="Q30" s="1351">
        <f t="shared" si="11"/>
        <v>111</v>
      </c>
      <c r="R30" s="705" t="s">
        <v>14</v>
      </c>
      <c r="S30" s="706">
        <f t="shared" si="12"/>
        <v>100</v>
      </c>
      <c r="T30" s="705" t="s">
        <v>14</v>
      </c>
      <c r="U30" s="706">
        <f t="shared" si="13"/>
        <v>100</v>
      </c>
      <c r="V30" s="705" t="s">
        <v>14</v>
      </c>
      <c r="W30" s="706">
        <f t="shared" si="14"/>
        <v>100</v>
      </c>
      <c r="X30" s="1354"/>
      <c r="Y30" s="373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2"/>
      <c r="Q31" s="1351">
        <f t="shared" si="11"/>
        <v>111</v>
      </c>
      <c r="R31" s="705" t="s">
        <v>14</v>
      </c>
      <c r="S31" s="706">
        <f t="shared" si="12"/>
        <v>100</v>
      </c>
      <c r="T31" s="705" t="s">
        <v>14</v>
      </c>
      <c r="U31" s="706">
        <f t="shared" si="13"/>
        <v>100</v>
      </c>
      <c r="V31" s="705" t="s">
        <v>14</v>
      </c>
      <c r="W31" s="706">
        <f t="shared" si="14"/>
        <v>100</v>
      </c>
      <c r="X31" s="1354"/>
      <c r="Y31" s="373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2"/>
      <c r="Q32" s="1351">
        <f t="shared" si="11"/>
        <v>111</v>
      </c>
      <c r="R32" s="705" t="s">
        <v>14</v>
      </c>
      <c r="S32" s="706">
        <f t="shared" si="12"/>
        <v>100</v>
      </c>
      <c r="T32" s="705" t="s">
        <v>14</v>
      </c>
      <c r="U32" s="706">
        <f t="shared" si="13"/>
        <v>100</v>
      </c>
      <c r="V32" s="705" t="s">
        <v>14</v>
      </c>
      <c r="W32" s="706">
        <f t="shared" si="14"/>
        <v>100</v>
      </c>
      <c r="X32" s="1354"/>
      <c r="Y32" s="3735"/>
      <c r="Z32" s="1355">
        <f t="shared" si="15"/>
        <v>111</v>
      </c>
      <c r="AA32" s="1352">
        <f t="shared" si="3"/>
        <v>1</v>
      </c>
      <c r="AB32" s="1352">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v>2</v>
      </c>
      <c r="L33" s="2720"/>
      <c r="M33" s="2714"/>
      <c r="N33" s="2714"/>
      <c r="O33" s="2714"/>
      <c r="P33" s="3736" t="s">
        <v>1693</v>
      </c>
      <c r="Q33" s="1351" t="str">
        <f t="shared" si="11"/>
        <v>建筑类型</v>
      </c>
      <c r="R33" s="705" t="s">
        <v>14</v>
      </c>
      <c r="S33" s="706">
        <f t="shared" si="12"/>
        <v>100</v>
      </c>
      <c r="T33" s="705" t="s">
        <v>14</v>
      </c>
      <c r="U33" s="706">
        <f t="shared" si="13"/>
        <v>100</v>
      </c>
      <c r="V33" s="705" t="s">
        <v>14</v>
      </c>
      <c r="W33" s="706">
        <f t="shared" si="14"/>
        <v>100</v>
      </c>
      <c r="X33" s="1354"/>
      <c r="Y33" s="3739" t="s">
        <v>1693</v>
      </c>
      <c r="Z33" s="1355" t="str">
        <f t="shared" si="15"/>
        <v>建筑类型</v>
      </c>
      <c r="AA33" s="1352">
        <f t="shared" si="3"/>
        <v>1</v>
      </c>
      <c r="AB33" s="1352">
        <f t="shared" si="4"/>
        <v>1</v>
      </c>
      <c r="AC33" s="1961">
        <f t="shared" si="5"/>
        <v>1</v>
      </c>
    </row>
    <row r="34" spans="1:29" s="422" customFormat="1" ht="15">
      <c r="A34" s="419"/>
      <c r="B34" s="375" t="s">
        <v>1694</v>
      </c>
      <c r="C34" s="420">
        <f>D3</f>
        <v>11487.92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19"/>
      <c r="M34" s="2721"/>
      <c r="N34" s="2721"/>
      <c r="O34" s="2721"/>
      <c r="P34" s="3737"/>
      <c r="Q34" s="707" t="str">
        <f t="shared" si="11"/>
        <v>项目建筑规模</v>
      </c>
      <c r="R34" s="708" t="s">
        <v>14</v>
      </c>
      <c r="S34" s="709">
        <f t="shared" si="12"/>
        <v>102</v>
      </c>
      <c r="T34" s="708" t="s">
        <v>14</v>
      </c>
      <c r="U34" s="709">
        <f t="shared" si="13"/>
        <v>102</v>
      </c>
      <c r="V34" s="708" t="s">
        <v>14</v>
      </c>
      <c r="W34" s="709">
        <f t="shared" si="14"/>
        <v>102</v>
      </c>
      <c r="X34" s="710"/>
      <c r="Y34" s="3739"/>
      <c r="Z34" s="711" t="str">
        <f t="shared" si="15"/>
        <v>项目建筑规模</v>
      </c>
      <c r="AA34" s="1352">
        <f t="shared" si="3"/>
        <v>0.98039215686274506</v>
      </c>
      <c r="AB34" s="135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0"/>
      <c r="M35" s="2714"/>
      <c r="N35" s="2714"/>
      <c r="O35" s="2714"/>
      <c r="P35" s="3737"/>
      <c r="Q35" s="1351" t="str">
        <f t="shared" si="11"/>
        <v>建筑结构</v>
      </c>
      <c r="R35" s="705" t="s">
        <v>14</v>
      </c>
      <c r="S35" s="706">
        <f t="shared" si="12"/>
        <v>100</v>
      </c>
      <c r="T35" s="705" t="s">
        <v>14</v>
      </c>
      <c r="U35" s="706">
        <f t="shared" si="13"/>
        <v>100</v>
      </c>
      <c r="V35" s="705" t="s">
        <v>14</v>
      </c>
      <c r="W35" s="706">
        <f t="shared" si="14"/>
        <v>100</v>
      </c>
      <c r="X35" s="1354"/>
      <c r="Y35" s="3739"/>
      <c r="Z35" s="1355" t="str">
        <f t="shared" si="15"/>
        <v>建筑结构</v>
      </c>
      <c r="AA35" s="1352">
        <f t="shared" si="3"/>
        <v>1</v>
      </c>
      <c r="AB35" s="1352">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v>2</v>
      </c>
      <c r="L36" s="2720"/>
      <c r="M36" s="2714"/>
      <c r="N36" s="2714"/>
      <c r="O36" s="2714"/>
      <c r="P36" s="3737"/>
      <c r="Q36" s="1351" t="str">
        <f t="shared" si="11"/>
        <v>公共部分装修</v>
      </c>
      <c r="R36" s="705" t="s">
        <v>14</v>
      </c>
      <c r="S36" s="706">
        <f t="shared" si="12"/>
        <v>100</v>
      </c>
      <c r="T36" s="705" t="s">
        <v>14</v>
      </c>
      <c r="U36" s="706">
        <f t="shared" si="13"/>
        <v>100</v>
      </c>
      <c r="V36" s="705" t="s">
        <v>14</v>
      </c>
      <c r="W36" s="706">
        <f t="shared" si="14"/>
        <v>100</v>
      </c>
      <c r="X36" s="1354"/>
      <c r="Y36" s="3739"/>
      <c r="Z36" s="1355" t="str">
        <f t="shared" si="15"/>
        <v>公共部分装修</v>
      </c>
      <c r="AA36" s="1352">
        <f t="shared" si="3"/>
        <v>1</v>
      </c>
      <c r="AB36" s="1352">
        <f t="shared" si="4"/>
        <v>1</v>
      </c>
      <c r="AC36" s="1961">
        <f t="shared" si="5"/>
        <v>1</v>
      </c>
    </row>
    <row r="37" spans="1:29" ht="15">
      <c r="A37" s="423"/>
      <c r="B37" s="375" t="s">
        <v>1783</v>
      </c>
      <c r="C37" s="425">
        <f>'数据-取费表'!N6</f>
        <v>0.85</v>
      </c>
      <c r="D37" s="386">
        <v>100</v>
      </c>
      <c r="E37" s="425">
        <v>0.95</v>
      </c>
      <c r="F37" s="412">
        <f>LOOKUP(E37,111:111,112:112)-LOOKUP(C37,111:111,112:112)+100</f>
        <v>101</v>
      </c>
      <c r="G37" s="425">
        <v>0.95</v>
      </c>
      <c r="H37" s="412">
        <f>LOOKUP(G37,111:111,112:112)-LOOKUP(C37,111:111,112:112)+100</f>
        <v>101</v>
      </c>
      <c r="I37" s="425">
        <v>0.96</v>
      </c>
      <c r="J37" s="386">
        <f>LOOKUP(I37,111:111,112:112)-LOOKUP(C37,111:111,112:112)+100</f>
        <v>101</v>
      </c>
      <c r="K37" s="561">
        <v>1</v>
      </c>
      <c r="L37" s="2720"/>
      <c r="M37" s="2714"/>
      <c r="N37" s="2714"/>
      <c r="O37" s="2714"/>
      <c r="P37" s="3737"/>
      <c r="Q37" s="1351" t="str">
        <f t="shared" si="11"/>
        <v>成新度</v>
      </c>
      <c r="R37" s="705" t="s">
        <v>14</v>
      </c>
      <c r="S37" s="706">
        <f t="shared" si="12"/>
        <v>101</v>
      </c>
      <c r="T37" s="705" t="s">
        <v>14</v>
      </c>
      <c r="U37" s="706">
        <f t="shared" si="13"/>
        <v>101</v>
      </c>
      <c r="V37" s="705" t="s">
        <v>14</v>
      </c>
      <c r="W37" s="706">
        <f t="shared" si="14"/>
        <v>101</v>
      </c>
      <c r="X37" s="1354"/>
      <c r="Y37" s="3739"/>
      <c r="Z37" s="1355" t="str">
        <f t="shared" si="15"/>
        <v>成新度</v>
      </c>
      <c r="AA37" s="1352">
        <f t="shared" si="3"/>
        <v>0.99009900990099009</v>
      </c>
      <c r="AB37" s="1352">
        <f t="shared" si="4"/>
        <v>0.99009900990099009</v>
      </c>
      <c r="AC37" s="1961">
        <f t="shared" si="5"/>
        <v>0.99009900990099009</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7"/>
      <c r="Q38" s="1342"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v>1</v>
      </c>
      <c r="L39" s="2720"/>
      <c r="M39" s="2714"/>
      <c r="N39" s="2714"/>
      <c r="O39" s="2714"/>
      <c r="P39" s="3737" t="s">
        <v>1693</v>
      </c>
      <c r="Q39" s="1351" t="str">
        <f t="shared" si="11"/>
        <v>物业管理</v>
      </c>
      <c r="R39" s="705" t="s">
        <v>14</v>
      </c>
      <c r="S39" s="706">
        <f t="shared" si="12"/>
        <v>100</v>
      </c>
      <c r="T39" s="705" t="s">
        <v>14</v>
      </c>
      <c r="U39" s="706">
        <f t="shared" si="13"/>
        <v>100</v>
      </c>
      <c r="V39" s="705" t="s">
        <v>14</v>
      </c>
      <c r="W39" s="706">
        <f t="shared" si="14"/>
        <v>100</v>
      </c>
      <c r="X39" s="1354"/>
      <c r="Y39" s="3739" t="s">
        <v>1693</v>
      </c>
      <c r="Z39" s="1355" t="str">
        <f t="shared" si="15"/>
        <v>物业管理</v>
      </c>
      <c r="AA39" s="1352">
        <f t="shared" si="3"/>
        <v>1</v>
      </c>
      <c r="AB39" s="135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v>1</v>
      </c>
      <c r="L40" s="2720"/>
      <c r="M40" s="2714"/>
      <c r="N40" s="2714"/>
      <c r="O40" s="2714"/>
      <c r="P40" s="3737"/>
      <c r="Q40" s="1351" t="str">
        <f t="shared" si="11"/>
        <v>市政基础设施</v>
      </c>
      <c r="R40" s="705" t="s">
        <v>14</v>
      </c>
      <c r="S40" s="706">
        <f t="shared" si="12"/>
        <v>100</v>
      </c>
      <c r="T40" s="705" t="s">
        <v>14</v>
      </c>
      <c r="U40" s="706">
        <f t="shared" si="13"/>
        <v>100</v>
      </c>
      <c r="V40" s="705" t="s">
        <v>14</v>
      </c>
      <c r="W40" s="706">
        <f t="shared" si="14"/>
        <v>100</v>
      </c>
      <c r="X40" s="1354"/>
      <c r="Y40" s="3739"/>
      <c r="Z40" s="1355" t="str">
        <f t="shared" si="15"/>
        <v>市政基础设施</v>
      </c>
      <c r="AA40" s="1352">
        <f t="shared" si="3"/>
        <v>1</v>
      </c>
      <c r="AB40" s="1352">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v>2</v>
      </c>
      <c r="L41" s="2720"/>
      <c r="M41" s="2714"/>
      <c r="N41" s="2714"/>
      <c r="O41" s="2714"/>
      <c r="P41" s="3737"/>
      <c r="Q41" s="1351" t="str">
        <f t="shared" si="11"/>
        <v>层高</v>
      </c>
      <c r="R41" s="705" t="s">
        <v>14</v>
      </c>
      <c r="S41" s="706">
        <f t="shared" si="12"/>
        <v>100</v>
      </c>
      <c r="T41" s="705" t="s">
        <v>14</v>
      </c>
      <c r="U41" s="706">
        <f t="shared" si="13"/>
        <v>100</v>
      </c>
      <c r="V41" s="705" t="s">
        <v>14</v>
      </c>
      <c r="W41" s="706">
        <f t="shared" si="14"/>
        <v>100</v>
      </c>
      <c r="X41" s="1354"/>
      <c r="Y41" s="3739"/>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2">
        <f t="shared" si="3"/>
        <v>1</v>
      </c>
      <c r="AB42" s="1352">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v>1</v>
      </c>
      <c r="L43" s="2720"/>
      <c r="M43" s="2714"/>
      <c r="N43" s="2714"/>
      <c r="O43" s="2714"/>
      <c r="P43" s="3737"/>
      <c r="Q43" s="1351" t="str">
        <f t="shared" si="11"/>
        <v>内部装修</v>
      </c>
      <c r="R43" s="705" t="s">
        <v>14</v>
      </c>
      <c r="S43" s="706">
        <f t="shared" si="12"/>
        <v>97</v>
      </c>
      <c r="T43" s="705" t="s">
        <v>14</v>
      </c>
      <c r="U43" s="706">
        <f t="shared" si="13"/>
        <v>97</v>
      </c>
      <c r="V43" s="705" t="s">
        <v>14</v>
      </c>
      <c r="W43" s="706">
        <f t="shared" si="14"/>
        <v>97</v>
      </c>
      <c r="X43" s="1354"/>
      <c r="Y43" s="3739"/>
      <c r="Z43" s="1355" t="str">
        <f t="shared" si="15"/>
        <v>内部装修</v>
      </c>
      <c r="AA43" s="1352">
        <f t="shared" si="3"/>
        <v>1.0309278350515463</v>
      </c>
      <c r="AB43" s="135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v>1</v>
      </c>
      <c r="L44" s="2720"/>
      <c r="M44" s="2714"/>
      <c r="N44" s="2714"/>
      <c r="O44" s="2714"/>
      <c r="P44" s="3737"/>
      <c r="Q44" s="1351" t="str">
        <f t="shared" si="11"/>
        <v>内部装修维护情况</v>
      </c>
      <c r="R44" s="705" t="s">
        <v>14</v>
      </c>
      <c r="S44" s="706">
        <f t="shared" si="12"/>
        <v>100</v>
      </c>
      <c r="T44" s="705" t="s">
        <v>14</v>
      </c>
      <c r="U44" s="706">
        <f t="shared" si="13"/>
        <v>100</v>
      </c>
      <c r="V44" s="705" t="s">
        <v>14</v>
      </c>
      <c r="W44" s="706">
        <f t="shared" si="14"/>
        <v>100</v>
      </c>
      <c r="X44" s="1354"/>
      <c r="Y44" s="3739"/>
      <c r="Z44" s="1355" t="str">
        <f t="shared" si="15"/>
        <v>内部装修维护情况</v>
      </c>
      <c r="AA44" s="1352">
        <f t="shared" si="3"/>
        <v>1</v>
      </c>
      <c r="AB44" s="1352">
        <f t="shared" si="4"/>
        <v>1</v>
      </c>
      <c r="AC44" s="1961">
        <f t="shared" si="5"/>
        <v>1</v>
      </c>
    </row>
    <row r="45" spans="1:29" s="108" customFormat="1" ht="15.75" thickBot="1">
      <c r="A45" s="424"/>
      <c r="B45" s="3508" t="s">
        <v>3691</v>
      </c>
      <c r="C45" s="420">
        <v>0</v>
      </c>
      <c r="D45" s="127">
        <v>100</v>
      </c>
      <c r="E45" s="383">
        <v>0</v>
      </c>
      <c r="F45" s="376">
        <f>SUMIF(127:127,E45,128:128)-SUMIF(127:127,C45,128:128)+100</f>
        <v>100</v>
      </c>
      <c r="G45" s="383">
        <v>0</v>
      </c>
      <c r="H45" s="127">
        <f>SUMIF(127:127,G45,128:128)-SUMIF(127:127,C45,128:128)+100</f>
        <v>100</v>
      </c>
      <c r="I45" s="383">
        <v>0</v>
      </c>
      <c r="J45" s="127">
        <f>SUMIF(127:127,I45,128:128)-SUMIF(127:127,C45,128:128)+100</f>
        <v>100</v>
      </c>
      <c r="K45" s="562"/>
      <c r="L45" s="2715"/>
      <c r="M45" s="2716"/>
      <c r="N45" s="2716"/>
      <c r="O45" s="2716"/>
      <c r="P45" s="3737"/>
      <c r="Q45" s="1342" t="str">
        <f t="shared" si="11"/>
        <v>地下占比</v>
      </c>
      <c r="R45" s="701" t="s">
        <v>14</v>
      </c>
      <c r="S45" s="702">
        <f t="shared" si="12"/>
        <v>100</v>
      </c>
      <c r="T45" s="701" t="s">
        <v>14</v>
      </c>
      <c r="U45" s="702">
        <f t="shared" si="13"/>
        <v>100</v>
      </c>
      <c r="V45" s="701" t="s">
        <v>14</v>
      </c>
      <c r="W45" s="702">
        <f t="shared" si="14"/>
        <v>100</v>
      </c>
      <c r="X45" s="703"/>
      <c r="Y45" s="3739"/>
      <c r="Z45" s="52" t="str">
        <f t="shared" si="15"/>
        <v>地下占比</v>
      </c>
      <c r="AA45" s="704">
        <f t="shared" si="3"/>
        <v>1</v>
      </c>
      <c r="AB45" s="704">
        <f t="shared" si="4"/>
        <v>1</v>
      </c>
      <c r="AC45" s="1958">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7"/>
      <c r="Q46" s="1351">
        <f t="shared" si="11"/>
        <v>111</v>
      </c>
      <c r="R46" s="705" t="s">
        <v>14</v>
      </c>
      <c r="S46" s="706">
        <f t="shared" si="12"/>
        <v>100</v>
      </c>
      <c r="T46" s="705" t="s">
        <v>14</v>
      </c>
      <c r="U46" s="706">
        <f t="shared" si="13"/>
        <v>100</v>
      </c>
      <c r="V46" s="705" t="s">
        <v>14</v>
      </c>
      <c r="W46" s="706">
        <f t="shared" si="14"/>
        <v>100</v>
      </c>
      <c r="X46" s="1354"/>
      <c r="Y46" s="3739"/>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8"/>
      <c r="Q47" s="1351">
        <f t="shared" si="11"/>
        <v>111</v>
      </c>
      <c r="R47" s="705" t="s">
        <v>14</v>
      </c>
      <c r="S47" s="706">
        <f t="shared" si="12"/>
        <v>100</v>
      </c>
      <c r="T47" s="705" t="s">
        <v>14</v>
      </c>
      <c r="U47" s="706">
        <f t="shared" si="13"/>
        <v>100</v>
      </c>
      <c r="V47" s="705" t="s">
        <v>14</v>
      </c>
      <c r="W47" s="706">
        <f t="shared" si="14"/>
        <v>100</v>
      </c>
      <c r="X47" s="1354"/>
      <c r="Y47" s="3740"/>
      <c r="Z47" s="1355">
        <f t="shared" si="15"/>
        <v>111</v>
      </c>
      <c r="AA47" s="1352">
        <f t="shared" si="3"/>
        <v>1</v>
      </c>
      <c r="AB47" s="135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2"/>
      <c r="M48" s="2714"/>
      <c r="N48" s="2714"/>
      <c r="O48" s="2714"/>
      <c r="P48" s="3743" t="str">
        <f>A48</f>
        <v>成交单价（元/平方米）</v>
      </c>
      <c r="Q48" s="3732"/>
      <c r="R48" s="3733">
        <f>E48</f>
        <v>28000</v>
      </c>
      <c r="S48" s="3733"/>
      <c r="T48" s="3733">
        <f>G48</f>
        <v>31000</v>
      </c>
      <c r="U48" s="3733"/>
      <c r="V48" s="3733">
        <f>I48</f>
        <v>30935</v>
      </c>
      <c r="W48" s="3733"/>
      <c r="X48" s="397"/>
      <c r="Y48" s="712"/>
      <c r="Z48" s="397"/>
      <c r="AA48" s="397"/>
      <c r="AB48" s="397"/>
      <c r="AC48" s="578"/>
    </row>
    <row r="49" spans="1:29" ht="15.75" thickBot="1">
      <c r="A49" s="437" t="s">
        <v>1790</v>
      </c>
      <c r="B49" s="438"/>
      <c r="C49" s="1160">
        <f>R50</f>
        <v>25775</v>
      </c>
      <c r="D49" s="2316" t="s">
        <v>2135</v>
      </c>
      <c r="E49" s="1161">
        <f>R49</f>
        <v>24245</v>
      </c>
      <c r="F49" s="2317"/>
      <c r="G49" s="1160">
        <f>T49</f>
        <v>26842</v>
      </c>
      <c r="H49" s="2317"/>
      <c r="I49" s="1161">
        <f>V49</f>
        <v>26239</v>
      </c>
      <c r="J49" s="2317"/>
      <c r="K49" s="2319">
        <f>F49+H49+J49</f>
        <v>0</v>
      </c>
      <c r="L49" s="2722"/>
      <c r="M49" s="2714"/>
      <c r="N49" s="2714"/>
      <c r="O49" s="2714"/>
      <c r="P49" s="3743" t="str">
        <f>A49</f>
        <v>比较价值（元/平方米）</v>
      </c>
      <c r="Q49" s="3732"/>
      <c r="R49" s="3733">
        <f>IF(F1="售价",ROUND(PRODUCT(R48,AA7:AA47),0),ROUND(PRODUCT(R48,AA7:AA47),1))</f>
        <v>24245</v>
      </c>
      <c r="S49" s="3733"/>
      <c r="T49" s="3733">
        <f>IF(F1="售价",ROUND(PRODUCT(T48,AB7:AB47),0),ROUND(PRODUCT(T48,AB7:AB47),1))</f>
        <v>26842</v>
      </c>
      <c r="U49" s="3733"/>
      <c r="V49" s="3733">
        <f>IF(F1="售价",ROUND(PRODUCT(V48,AC7:AC47),0),ROUND(PRODUCT(V48,AC7:AC47),1))</f>
        <v>26239</v>
      </c>
      <c r="W49" s="3733"/>
      <c r="X49" s="397"/>
      <c r="Y49" s="397"/>
      <c r="Z49" s="397"/>
      <c r="AA49" s="397"/>
      <c r="AB49" s="397"/>
      <c r="AC49" s="578"/>
    </row>
    <row r="50" spans="1:29" ht="15.75" thickBot="1">
      <c r="A50" s="441" t="s">
        <v>1791</v>
      </c>
      <c r="B50" s="442"/>
      <c r="C50" s="1163">
        <f>R50</f>
        <v>25775</v>
      </c>
      <c r="D50" s="1163"/>
      <c r="E50" s="1163"/>
      <c r="F50" s="1163"/>
      <c r="G50" s="1163"/>
      <c r="H50" s="1163"/>
      <c r="I50" s="1163"/>
      <c r="J50" s="443"/>
      <c r="K50" s="715"/>
      <c r="L50" s="2722"/>
      <c r="M50" s="2714"/>
      <c r="N50" s="2714"/>
      <c r="O50" s="2714"/>
      <c r="P50" s="3775" t="str">
        <f>A50</f>
        <v>估价对象XX用房的比较价值（楼面单价，元/平方米）</v>
      </c>
      <c r="Q50" s="3776"/>
      <c r="R50" s="3777">
        <f>IF(F1="售价",ROUND(IF(D49="简单平均",AVERAGE(R49:V49),R49*F49+T49*H49+V49*J49),0),ROUND(IF(D49="简单平均",AVERAGE(R49:V49),R49*F49+T49*H49+V49*J49),1))</f>
        <v>25775</v>
      </c>
      <c r="S50" s="3777"/>
      <c r="T50" s="3777"/>
      <c r="U50" s="3777"/>
      <c r="V50" s="3777"/>
      <c r="W50" s="3777"/>
      <c r="X50" s="1945"/>
      <c r="Y50" s="1945"/>
      <c r="Z50" s="1945"/>
      <c r="AA50" s="1945"/>
      <c r="AB50" s="1945"/>
      <c r="AC50" s="1946"/>
    </row>
    <row r="51" spans="1:29">
      <c r="A51" s="2723"/>
      <c r="B51" s="2723"/>
      <c r="C51" s="2723"/>
      <c r="D51" s="2723"/>
      <c r="E51" s="2723">
        <v>2021</v>
      </c>
      <c r="F51" s="2723"/>
      <c r="G51" s="2723">
        <v>2021</v>
      </c>
      <c r="H51" s="2723"/>
      <c r="I51" s="2723">
        <v>2022</v>
      </c>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1792</v>
      </c>
      <c r="D53" s="447"/>
      <c r="E53" s="448">
        <f>IF(E48&lt;E49,E49/E48-1,E48/E49-1)</f>
        <v>0.15487729428748187</v>
      </c>
      <c r="F53" s="449" t="str">
        <f>IF(OR(E53&gt;=0.3,E53&lt;=-0.3),"超过30%","")</f>
        <v/>
      </c>
      <c r="G53" s="448">
        <f>IF(G48&lt;G49,G49/G48-1,G48/G49-1)</f>
        <v>0.15490648982937194</v>
      </c>
      <c r="H53" s="449" t="str">
        <f>IF(OR(G53&gt;=0.3,G53&lt;=-0.3),"超过30%","")</f>
        <v/>
      </c>
      <c r="I53" s="448">
        <f>IF(I48&lt;I49,I49/I48-1,I48/I49-1)</f>
        <v>0.1789702351461564</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1793</v>
      </c>
      <c r="D54" s="450"/>
      <c r="E54" s="448">
        <f>IF(E49&lt;G49,G49/E49-1,E49/G49-1)</f>
        <v>0.10711486904516399</v>
      </c>
      <c r="F54" s="449" t="str">
        <f>IF(OR(E54&gt;=0.2,E54&lt;=-0.2),"超过20%","")</f>
        <v/>
      </c>
      <c r="G54" s="448">
        <f>IF(G49&lt;I49,I49/G49-1,G49/I49-1)</f>
        <v>2.2981058729372394E-2</v>
      </c>
      <c r="H54" s="449" t="str">
        <f>IF(OR(G54&gt;=0.2,G54&lt;=-0.2),"超过20%","")</f>
        <v/>
      </c>
      <c r="I54" s="448">
        <f>IF(I49&lt;E49,E49/I49-1,I49/E49-1)</f>
        <v>8.2243761600329979E-2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1794</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1795</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研发</v>
      </c>
      <c r="D64" s="3453" t="s">
        <v>3669</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v>108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3706</v>
      </c>
      <c r="D66" s="532" t="s">
        <v>3707</v>
      </c>
      <c r="E66" s="532" t="s">
        <v>3708</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99.5</v>
      </c>
      <c r="E67" s="485">
        <v>99</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v>4</v>
      </c>
      <c r="H69" s="498">
        <v>5</v>
      </c>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505" t="s">
        <v>3676</v>
      </c>
      <c r="D89" s="3505" t="s">
        <v>3674</v>
      </c>
      <c r="E89" s="3505"/>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3" t="s">
        <v>3678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98</v>
      </c>
      <c r="F105" s="485">
        <v>98</v>
      </c>
      <c r="G105" s="485">
        <v>98</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505" t="s">
        <v>3679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505" t="s">
        <v>3681</v>
      </c>
      <c r="D108" s="3505" t="s">
        <v>3682</v>
      </c>
      <c r="E108" s="3505" t="s">
        <v>3683</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505" t="s">
        <v>3685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506" t="s">
        <v>3687</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505" t="s">
        <v>3681</v>
      </c>
      <c r="D123" s="3505" t="s">
        <v>3682</v>
      </c>
      <c r="E123" s="3505" t="s">
        <v>3683</v>
      </c>
      <c r="F123" s="3506" t="s">
        <v>3700</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v>
      </c>
      <c r="D127" s="3509">
        <v>0.26</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82</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3" priority="20" stopIfTrue="1" operator="containsText" text="超过">
      <formula>NOT(ISERROR(SEARCH("超过",F53)))</formula>
    </cfRule>
  </conditionalFormatting>
  <conditionalFormatting sqref="H55">
    <cfRule type="containsText" dxfId="152" priority="19" stopIfTrue="1" operator="containsText" text="超过">
      <formula>NOT(ISERROR(SEARCH("超过",H55)))</formula>
    </cfRule>
  </conditionalFormatting>
  <conditionalFormatting sqref="F55">
    <cfRule type="containsText" dxfId="151" priority="18" stopIfTrue="1" operator="containsText" text="超过">
      <formula>NOT(ISERROR(SEARCH("超过",F55)))</formula>
    </cfRule>
  </conditionalFormatting>
  <conditionalFormatting sqref="F54 H54">
    <cfRule type="containsText" dxfId="150" priority="17" stopIfTrue="1" operator="containsText" text="超过">
      <formula>NOT(ISERROR(SEARCH("超过",F54)))</formula>
    </cfRule>
  </conditionalFormatting>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G55">
    <cfRule type="expression" dxfId="146" priority="13" stopIfTrue="1">
      <formula>$H$55="超过30%"</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J53">
    <cfRule type="containsText" dxfId="143" priority="10" stopIfTrue="1" operator="containsText" text="超过">
      <formula>NOT(ISERROR(SEARCH("超过",J53)))</formula>
    </cfRule>
  </conditionalFormatting>
  <conditionalFormatting sqref="J55">
    <cfRule type="containsText" dxfId="142" priority="9" stopIfTrue="1" operator="containsText" text="超过">
      <formula>NOT(ISERROR(SEARCH("超过",J55)))</formula>
    </cfRule>
  </conditionalFormatting>
  <conditionalFormatting sqref="J54">
    <cfRule type="containsText" dxfId="141" priority="8" stopIfTrue="1" operator="containsText" text="超过">
      <formula>NOT(ISERROR(SEARCH("超过",J54)))</formula>
    </cfRule>
  </conditionalFormatting>
  <conditionalFormatting sqref="I53">
    <cfRule type="expression" dxfId="140" priority="7" stopIfTrue="1">
      <formula>$J$53="超过30%"</formula>
    </cfRule>
  </conditionalFormatting>
  <conditionalFormatting sqref="I54">
    <cfRule type="expression" dxfId="139" priority="6" stopIfTrue="1">
      <formula>$J$53+$J$54="超过20%"</formula>
    </cfRule>
  </conditionalFormatting>
  <conditionalFormatting sqref="I55">
    <cfRule type="expression" dxfId="138" priority="5" stopIfTrue="1">
      <formula>$J$55="超过30%"</formula>
    </cfRule>
  </conditionalFormatting>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F7:F47 H7:H47 J7:J47">
    <cfRule type="cellIs" dxfId="13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36780.86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47" t="s">
        <v>1767</v>
      </c>
      <c r="D4" s="3748"/>
      <c r="E4" s="3749" t="s">
        <v>1768</v>
      </c>
      <c r="F4" s="3750"/>
      <c r="G4" s="3747" t="s">
        <v>1769</v>
      </c>
      <c r="H4" s="3748"/>
      <c r="I4" s="3747" t="s">
        <v>1770</v>
      </c>
      <c r="J4" s="3748"/>
      <c r="K4" s="559" t="s">
        <v>1771</v>
      </c>
      <c r="L4" s="913"/>
      <c r="M4" s="914"/>
      <c r="N4" s="914"/>
      <c r="O4" s="914"/>
      <c r="P4" s="3751" t="s">
        <v>1772</v>
      </c>
      <c r="Q4" s="3752"/>
      <c r="R4" s="3757" t="s">
        <v>1768</v>
      </c>
      <c r="S4" s="3758"/>
      <c r="T4" s="3757" t="s">
        <v>1769</v>
      </c>
      <c r="U4" s="3758"/>
      <c r="V4" s="3763" t="s">
        <v>1770</v>
      </c>
      <c r="W4" s="3763"/>
      <c r="X4" s="1354"/>
      <c r="Y4" s="3757" t="s">
        <v>1772</v>
      </c>
      <c r="Z4" s="3758"/>
      <c r="AA4" s="3744" t="s">
        <v>1768</v>
      </c>
      <c r="AB4" s="3745" t="s">
        <v>1769</v>
      </c>
      <c r="AC4" s="3744" t="s">
        <v>1770</v>
      </c>
    </row>
    <row r="5" spans="1:29" ht="15">
      <c r="A5" s="358"/>
      <c r="B5" s="359"/>
      <c r="C5" s="3766" t="s">
        <v>1670</v>
      </c>
      <c r="D5" s="3767"/>
      <c r="E5" s="3773" t="s">
        <v>1671</v>
      </c>
      <c r="F5" s="3774"/>
      <c r="G5" s="3766" t="s">
        <v>1672</v>
      </c>
      <c r="H5" s="3767"/>
      <c r="I5" s="3766" t="s">
        <v>1673</v>
      </c>
      <c r="J5" s="3767"/>
      <c r="K5" s="559"/>
      <c r="L5" s="913"/>
      <c r="M5" s="914"/>
      <c r="N5" s="914"/>
      <c r="O5" s="914"/>
      <c r="P5" s="3753"/>
      <c r="Q5" s="3754"/>
      <c r="R5" s="3759"/>
      <c r="S5" s="3760"/>
      <c r="T5" s="3759"/>
      <c r="U5" s="3760"/>
      <c r="V5" s="3763"/>
      <c r="W5" s="3763"/>
      <c r="X5" s="1354"/>
      <c r="Y5" s="3759"/>
      <c r="Z5" s="3760"/>
      <c r="AA5" s="3745"/>
      <c r="AB5" s="3745"/>
      <c r="AC5" s="3745"/>
    </row>
    <row r="6" spans="1:29" ht="15.75" thickBot="1">
      <c r="A6" s="360"/>
      <c r="B6" s="361"/>
      <c r="C6" s="3764" t="s">
        <v>1674</v>
      </c>
      <c r="D6" s="3765"/>
      <c r="E6" s="3771" t="s">
        <v>1674</v>
      </c>
      <c r="F6" s="3772"/>
      <c r="G6" s="3764" t="s">
        <v>1674</v>
      </c>
      <c r="H6" s="3765"/>
      <c r="I6" s="3764" t="s">
        <v>1674</v>
      </c>
      <c r="J6" s="3765"/>
      <c r="K6" s="559" t="s">
        <v>1675</v>
      </c>
      <c r="L6" s="913"/>
      <c r="M6" s="914"/>
      <c r="N6" s="914"/>
      <c r="O6" s="914"/>
      <c r="P6" s="3755"/>
      <c r="Q6" s="3756"/>
      <c r="R6" s="3759"/>
      <c r="S6" s="3760"/>
      <c r="T6" s="3761"/>
      <c r="U6" s="3762"/>
      <c r="V6" s="3763"/>
      <c r="W6" s="3763"/>
      <c r="X6" s="1354"/>
      <c r="Y6" s="3761"/>
      <c r="Z6" s="3762"/>
      <c r="AA6" s="3746"/>
      <c r="AB6" s="3746"/>
      <c r="AC6" s="3746"/>
    </row>
    <row r="7" spans="1:29" s="108" customFormat="1" ht="15.75" thickBot="1">
      <c r="A7" s="362" t="s">
        <v>1676</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68" t="s">
        <v>1677</v>
      </c>
      <c r="Q7" s="3770"/>
      <c r="R7" s="701" t="s">
        <v>14</v>
      </c>
      <c r="S7" s="702">
        <f t="shared" ref="S7:S15" si="0">F7</f>
        <v>0</v>
      </c>
      <c r="T7" s="701" t="s">
        <v>14</v>
      </c>
      <c r="U7" s="702">
        <f t="shared" ref="U7:U15" si="1">H7</f>
        <v>0</v>
      </c>
      <c r="V7" s="701" t="s">
        <v>14</v>
      </c>
      <c r="W7" s="702">
        <f t="shared" ref="W7:W15" si="2">J7</f>
        <v>0</v>
      </c>
      <c r="X7" s="703"/>
      <c r="Y7" s="3768" t="s">
        <v>1677</v>
      </c>
      <c r="Z7" s="3769"/>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8" t="s">
        <v>1680</v>
      </c>
      <c r="Q8" s="3769"/>
      <c r="R8" s="701" t="s">
        <v>14</v>
      </c>
      <c r="S8" s="702">
        <f t="shared" si="0"/>
        <v>100</v>
      </c>
      <c r="T8" s="701" t="s">
        <v>14</v>
      </c>
      <c r="U8" s="702">
        <f t="shared" si="1"/>
        <v>100</v>
      </c>
      <c r="V8" s="701" t="s">
        <v>14</v>
      </c>
      <c r="W8" s="702">
        <f t="shared" si="2"/>
        <v>100</v>
      </c>
      <c r="X8" s="703"/>
      <c r="Y8" s="3768" t="s">
        <v>1680</v>
      </c>
      <c r="Z8" s="3769"/>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1683</v>
      </c>
      <c r="Q9" s="1342" t="str">
        <f t="shared" ref="Q9:Q15" si="6">B9</f>
        <v>用途</v>
      </c>
      <c r="R9" s="701" t="s">
        <v>14</v>
      </c>
      <c r="S9" s="702">
        <f t="shared" si="0"/>
        <v>100</v>
      </c>
      <c r="T9" s="701" t="s">
        <v>14</v>
      </c>
      <c r="U9" s="702">
        <f t="shared" si="1"/>
        <v>100</v>
      </c>
      <c r="V9" s="701" t="s">
        <v>14</v>
      </c>
      <c r="W9" s="702">
        <f t="shared" si="2"/>
        <v>100</v>
      </c>
      <c r="X9" s="703"/>
      <c r="Y9" s="3607" t="s">
        <v>1684</v>
      </c>
      <c r="Z9" s="52" t="str">
        <f t="shared" ref="Z9:Z15" si="7">Q9</f>
        <v>用途</v>
      </c>
      <c r="AA9" s="704">
        <f t="shared" si="3"/>
        <v>1</v>
      </c>
      <c r="AB9" s="704">
        <f t="shared" si="4"/>
        <v>1</v>
      </c>
      <c r="AC9" s="704">
        <f t="shared" si="5"/>
        <v>1</v>
      </c>
    </row>
    <row r="10" spans="1:29" s="378" customFormat="1" ht="27">
      <c r="A10" s="374"/>
      <c r="B10" s="375" t="s">
        <v>1685</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2"/>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2"/>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2"/>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2"/>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1688</v>
      </c>
      <c r="Q15" s="1351" t="str">
        <f t="shared" si="6"/>
        <v>产业集聚程度</v>
      </c>
      <c r="R15" s="705" t="s">
        <v>14</v>
      </c>
      <c r="S15" s="706">
        <f t="shared" si="0"/>
        <v>100</v>
      </c>
      <c r="T15" s="705" t="s">
        <v>14</v>
      </c>
      <c r="U15" s="706">
        <f t="shared" si="1"/>
        <v>100</v>
      </c>
      <c r="V15" s="705" t="s">
        <v>14</v>
      </c>
      <c r="W15" s="706">
        <f t="shared" si="2"/>
        <v>100</v>
      </c>
      <c r="X15" s="1354"/>
      <c r="Y15" s="3734"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5"/>
      <c r="Q16" s="1351"/>
      <c r="R16" s="705"/>
      <c r="S16" s="706"/>
      <c r="T16" s="705"/>
      <c r="U16" s="706"/>
      <c r="V16" s="705"/>
      <c r="W16" s="706"/>
      <c r="X16" s="1354"/>
      <c r="Y16" s="3735"/>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5"/>
      <c r="Q18" s="1351"/>
      <c r="R18" s="705"/>
      <c r="S18" s="706"/>
      <c r="T18" s="705"/>
      <c r="U18" s="706"/>
      <c r="V18" s="705"/>
      <c r="W18" s="706"/>
      <c r="X18" s="1354"/>
      <c r="Y18" s="3735"/>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1" t="str">
        <f>B19</f>
        <v>公共配套设施</v>
      </c>
      <c r="R19" s="705" t="s">
        <v>14</v>
      </c>
      <c r="S19" s="706">
        <f>F19</f>
        <v>100</v>
      </c>
      <c r="T19" s="705" t="s">
        <v>14</v>
      </c>
      <c r="U19" s="706">
        <f>H19</f>
        <v>100</v>
      </c>
      <c r="V19" s="705" t="s">
        <v>14</v>
      </c>
      <c r="W19" s="706">
        <f>J19</f>
        <v>100</v>
      </c>
      <c r="X19" s="1354"/>
      <c r="Y19" s="373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5"/>
      <c r="Q20" s="1351"/>
      <c r="R20" s="705"/>
      <c r="S20" s="706"/>
      <c r="T20" s="705"/>
      <c r="U20" s="706"/>
      <c r="V20" s="705"/>
      <c r="W20" s="706"/>
      <c r="X20" s="1354"/>
      <c r="Y20" s="3735"/>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1" t="str">
        <f>B21</f>
        <v>基础设施水平</v>
      </c>
      <c r="R21" s="705" t="s">
        <v>14</v>
      </c>
      <c r="S21" s="706">
        <f>F21</f>
        <v>100</v>
      </c>
      <c r="T21" s="705" t="s">
        <v>14</v>
      </c>
      <c r="U21" s="706">
        <f>H21</f>
        <v>100</v>
      </c>
      <c r="V21" s="705" t="s">
        <v>14</v>
      </c>
      <c r="W21" s="706">
        <f>J21</f>
        <v>100</v>
      </c>
      <c r="X21" s="1354"/>
      <c r="Y21" s="373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5"/>
      <c r="Q22" s="1351"/>
      <c r="R22" s="705"/>
      <c r="S22" s="706"/>
      <c r="T22" s="705"/>
      <c r="U22" s="706"/>
      <c r="V22" s="705"/>
      <c r="W22" s="706"/>
      <c r="X22" s="1354"/>
      <c r="Y22" s="3735"/>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1" t="str">
        <f>B23</f>
        <v>环境质量</v>
      </c>
      <c r="R23" s="705" t="s">
        <v>14</v>
      </c>
      <c r="S23" s="706">
        <f>F23</f>
        <v>100</v>
      </c>
      <c r="T23" s="705" t="s">
        <v>14</v>
      </c>
      <c r="U23" s="706">
        <f>H23</f>
        <v>100</v>
      </c>
      <c r="V23" s="705" t="s">
        <v>14</v>
      </c>
      <c r="W23" s="706">
        <f>J23</f>
        <v>100</v>
      </c>
      <c r="X23" s="1354"/>
      <c r="Y23" s="373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5"/>
      <c r="Q24" s="1351"/>
      <c r="R24" s="705"/>
      <c r="S24" s="706"/>
      <c r="T24" s="705"/>
      <c r="U24" s="706"/>
      <c r="V24" s="705"/>
      <c r="W24" s="706"/>
      <c r="X24" s="1354"/>
      <c r="Y24" s="373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1">
        <f>B25</f>
        <v>111</v>
      </c>
      <c r="R25" s="705" t="s">
        <v>14</v>
      </c>
      <c r="S25" s="706">
        <f>F25</f>
        <v>100</v>
      </c>
      <c r="T25" s="705" t="s">
        <v>14</v>
      </c>
      <c r="U25" s="706">
        <f>H25</f>
        <v>100</v>
      </c>
      <c r="V25" s="705" t="s">
        <v>14</v>
      </c>
      <c r="W25" s="706">
        <f>J25</f>
        <v>100</v>
      </c>
      <c r="X25" s="1354"/>
      <c r="Y25" s="373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1">
        <f t="shared" ref="Q26:Q40" si="11">B26</f>
        <v>111</v>
      </c>
      <c r="R26" s="705" t="s">
        <v>14</v>
      </c>
      <c r="S26" s="706">
        <f>F26</f>
        <v>100</v>
      </c>
      <c r="T26" s="705" t="s">
        <v>14</v>
      </c>
      <c r="U26" s="706">
        <f>H26</f>
        <v>100</v>
      </c>
      <c r="V26" s="705" t="s">
        <v>14</v>
      </c>
      <c r="W26" s="706">
        <f>J26</f>
        <v>100</v>
      </c>
      <c r="X26" s="1354"/>
      <c r="Y26" s="373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2">
        <f t="shared" si="11"/>
        <v>111</v>
      </c>
      <c r="R27" s="701" t="s">
        <v>14</v>
      </c>
      <c r="S27" s="702">
        <f>F27</f>
        <v>100</v>
      </c>
      <c r="T27" s="701" t="s">
        <v>14</v>
      </c>
      <c r="U27" s="702">
        <f>H27</f>
        <v>100</v>
      </c>
      <c r="V27" s="701" t="s">
        <v>14</v>
      </c>
      <c r="W27" s="702">
        <f>J27</f>
        <v>100</v>
      </c>
      <c r="X27" s="703"/>
      <c r="Y27" s="373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1">
        <f t="shared" si="11"/>
        <v>111</v>
      </c>
      <c r="R28" s="705" t="s">
        <v>14</v>
      </c>
      <c r="S28" s="706">
        <f t="shared" ref="S28:S40" si="12">F28</f>
        <v>100</v>
      </c>
      <c r="T28" s="705" t="s">
        <v>14</v>
      </c>
      <c r="U28" s="706">
        <f t="shared" ref="U28:U40" si="13">H28</f>
        <v>100</v>
      </c>
      <c r="V28" s="705" t="s">
        <v>14</v>
      </c>
      <c r="W28" s="706">
        <f t="shared" ref="W28:W40" si="14">J28</f>
        <v>100</v>
      </c>
      <c r="X28" s="1354"/>
      <c r="Y28" s="3735"/>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2" t="s">
        <v>1693</v>
      </c>
      <c r="Q29" s="1351" t="str">
        <f t="shared" si="11"/>
        <v>建筑类型</v>
      </c>
      <c r="R29" s="705" t="s">
        <v>14</v>
      </c>
      <c r="S29" s="706">
        <f t="shared" si="12"/>
        <v>100</v>
      </c>
      <c r="T29" s="705" t="s">
        <v>14</v>
      </c>
      <c r="U29" s="706">
        <f t="shared" si="13"/>
        <v>100</v>
      </c>
      <c r="V29" s="705" t="s">
        <v>14</v>
      </c>
      <c r="W29" s="706">
        <f t="shared" si="14"/>
        <v>100</v>
      </c>
      <c r="X29" s="1354"/>
      <c r="Y29" s="3739"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1" t="str">
        <f t="shared" si="11"/>
        <v>建筑结构</v>
      </c>
      <c r="R31" s="705" t="s">
        <v>14</v>
      </c>
      <c r="S31" s="706">
        <f t="shared" si="12"/>
        <v>100</v>
      </c>
      <c r="T31" s="705" t="s">
        <v>14</v>
      </c>
      <c r="U31" s="706">
        <f t="shared" si="13"/>
        <v>100</v>
      </c>
      <c r="V31" s="705" t="s">
        <v>14</v>
      </c>
      <c r="W31" s="706">
        <f t="shared" si="14"/>
        <v>100</v>
      </c>
      <c r="X31" s="1354"/>
      <c r="Y31" s="3739"/>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1" t="str">
        <f t="shared" si="11"/>
        <v>公共部分装修</v>
      </c>
      <c r="R32" s="705" t="s">
        <v>14</v>
      </c>
      <c r="S32" s="706">
        <f t="shared" si="12"/>
        <v>100</v>
      </c>
      <c r="T32" s="705" t="s">
        <v>14</v>
      </c>
      <c r="U32" s="706">
        <f t="shared" si="13"/>
        <v>100</v>
      </c>
      <c r="V32" s="705" t="s">
        <v>14</v>
      </c>
      <c r="W32" s="706">
        <f t="shared" si="14"/>
        <v>100</v>
      </c>
      <c r="X32" s="1354"/>
      <c r="Y32" s="3739"/>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1" t="str">
        <f t="shared" si="11"/>
        <v>成新度</v>
      </c>
      <c r="R33" s="705" t="s">
        <v>14</v>
      </c>
      <c r="S33" s="706" t="e">
        <f t="shared" si="12"/>
        <v>#N/A</v>
      </c>
      <c r="T33" s="705" t="s">
        <v>14</v>
      </c>
      <c r="U33" s="706" t="e">
        <f t="shared" si="13"/>
        <v>#N/A</v>
      </c>
      <c r="V33" s="705" t="s">
        <v>14</v>
      </c>
      <c r="W33" s="706" t="e">
        <f t="shared" si="14"/>
        <v>#N/A</v>
      </c>
      <c r="X33" s="1354"/>
      <c r="Y33" s="3739"/>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2"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1693</v>
      </c>
      <c r="Q35" s="1351" t="str">
        <f t="shared" si="11"/>
        <v>市政基础设施</v>
      </c>
      <c r="R35" s="705" t="s">
        <v>14</v>
      </c>
      <c r="S35" s="706">
        <f t="shared" si="12"/>
        <v>100</v>
      </c>
      <c r="T35" s="705" t="s">
        <v>14</v>
      </c>
      <c r="U35" s="706">
        <f t="shared" si="13"/>
        <v>100</v>
      </c>
      <c r="V35" s="705" t="s">
        <v>14</v>
      </c>
      <c r="W35" s="706">
        <f t="shared" si="14"/>
        <v>100</v>
      </c>
      <c r="X35" s="1354"/>
      <c r="Y35" s="3739"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1" t="str">
        <f t="shared" si="11"/>
        <v>内部装修</v>
      </c>
      <c r="R36" s="705" t="s">
        <v>14</v>
      </c>
      <c r="S36" s="706">
        <f t="shared" si="12"/>
        <v>100</v>
      </c>
      <c r="T36" s="705" t="s">
        <v>14</v>
      </c>
      <c r="U36" s="706">
        <f t="shared" si="13"/>
        <v>100</v>
      </c>
      <c r="V36" s="705" t="s">
        <v>14</v>
      </c>
      <c r="W36" s="706">
        <f t="shared" si="14"/>
        <v>100</v>
      </c>
      <c r="X36" s="1354"/>
      <c r="Y36" s="3739"/>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1" t="str">
        <f t="shared" si="11"/>
        <v>内部装修状况</v>
      </c>
      <c r="R37" s="705" t="s">
        <v>14</v>
      </c>
      <c r="S37" s="706">
        <f t="shared" si="12"/>
        <v>100</v>
      </c>
      <c r="T37" s="705" t="s">
        <v>14</v>
      </c>
      <c r="U37" s="706">
        <f t="shared" si="13"/>
        <v>100</v>
      </c>
      <c r="V37" s="705" t="s">
        <v>14</v>
      </c>
      <c r="W37" s="706">
        <f t="shared" si="14"/>
        <v>100</v>
      </c>
      <c r="X37" s="1354"/>
      <c r="Y37" s="373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1">
        <f t="shared" si="11"/>
        <v>111</v>
      </c>
      <c r="R39" s="705" t="s">
        <v>14</v>
      </c>
      <c r="S39" s="706">
        <f t="shared" si="12"/>
        <v>100</v>
      </c>
      <c r="T39" s="705" t="s">
        <v>14</v>
      </c>
      <c r="U39" s="706">
        <f t="shared" si="13"/>
        <v>100</v>
      </c>
      <c r="V39" s="705" t="s">
        <v>14</v>
      </c>
      <c r="W39" s="706">
        <f t="shared" si="14"/>
        <v>100</v>
      </c>
      <c r="X39" s="1354"/>
      <c r="Y39" s="373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1">
        <f t="shared" si="11"/>
        <v>111</v>
      </c>
      <c r="R40" s="705" t="s">
        <v>14</v>
      </c>
      <c r="S40" s="706">
        <f t="shared" si="12"/>
        <v>100</v>
      </c>
      <c r="T40" s="705" t="s">
        <v>14</v>
      </c>
      <c r="U40" s="706">
        <f t="shared" si="13"/>
        <v>100</v>
      </c>
      <c r="V40" s="705" t="s">
        <v>14</v>
      </c>
      <c r="W40" s="706">
        <f t="shared" si="14"/>
        <v>100</v>
      </c>
      <c r="X40" s="1354"/>
      <c r="Y40" s="3740"/>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75" thickBot="1">
      <c r="A42" s="437" t="s">
        <v>1790</v>
      </c>
      <c r="B42" s="438"/>
      <c r="C42" s="1160" t="e">
        <f>R43</f>
        <v>#DIV/0!</v>
      </c>
      <c r="D42" s="2316" t="s">
        <v>2135</v>
      </c>
      <c r="E42" s="1161" t="e">
        <f>R42</f>
        <v>#DIV/0!</v>
      </c>
      <c r="F42" s="2317"/>
      <c r="G42" s="1160" t="e">
        <f>T42</f>
        <v>#DIV/0!</v>
      </c>
      <c r="H42" s="2317"/>
      <c r="I42" s="1161" t="e">
        <f>V42</f>
        <v>#DIV/0!</v>
      </c>
      <c r="J42" s="2317"/>
      <c r="K42" s="2319">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8"/>
      <c r="O54" s="2769"/>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7.75">
      <c r="A8" s="1482" t="s">
        <v>901</v>
      </c>
    </row>
    <row r="9" spans="1:1" ht="18.75">
      <c r="A9" s="1481" t="s">
        <v>902</v>
      </c>
    </row>
    <row r="10" spans="1:1" ht="54">
      <c r="A10" s="1479" t="str">
        <f>"估价对象为"&amp;项目基本情况!S2&amp;IF(结果表12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"本次评估采用的主估价方法为"&amp;结果表12号楼!K4&amp;"和"&amp;结果表12号楼!L4&amp;"。"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3333</v>
      </c>
      <c r="C1" s="1223" t="s">
        <v>1659</v>
      </c>
      <c r="D1" s="1224"/>
      <c r="E1" s="3431"/>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51" t="s">
        <v>1772</v>
      </c>
      <c r="Q4" s="3752"/>
      <c r="R4" s="3757" t="s">
        <v>1768</v>
      </c>
      <c r="S4" s="3758"/>
      <c r="T4" s="3757" t="s">
        <v>1769</v>
      </c>
      <c r="U4" s="3758"/>
      <c r="V4" s="3763" t="s">
        <v>1770</v>
      </c>
      <c r="W4" s="3763"/>
      <c r="X4" s="1354"/>
      <c r="Y4" s="3757" t="s">
        <v>1772</v>
      </c>
      <c r="Z4" s="3758"/>
      <c r="AA4" s="3744" t="s">
        <v>1768</v>
      </c>
      <c r="AB4" s="3745" t="s">
        <v>1769</v>
      </c>
      <c r="AC4" s="3744" t="s">
        <v>1770</v>
      </c>
    </row>
    <row r="5" spans="1:29" ht="15">
      <c r="A5" s="358"/>
      <c r="B5" s="359"/>
      <c r="C5" s="3766" t="s">
        <v>1670</v>
      </c>
      <c r="D5" s="3767"/>
      <c r="E5" s="3773" t="s">
        <v>1671</v>
      </c>
      <c r="F5" s="3774"/>
      <c r="G5" s="3766" t="s">
        <v>1672</v>
      </c>
      <c r="H5" s="3767"/>
      <c r="I5" s="3766" t="s">
        <v>1673</v>
      </c>
      <c r="J5" s="3767"/>
      <c r="K5" s="559"/>
      <c r="L5" s="2713"/>
      <c r="M5" s="2714"/>
      <c r="N5" s="2714"/>
      <c r="O5" s="2714"/>
      <c r="P5" s="3753"/>
      <c r="Q5" s="3754"/>
      <c r="R5" s="3759"/>
      <c r="S5" s="3760"/>
      <c r="T5" s="3759"/>
      <c r="U5" s="3760"/>
      <c r="V5" s="3763"/>
      <c r="W5" s="3763"/>
      <c r="X5" s="1354"/>
      <c r="Y5" s="3759"/>
      <c r="Z5" s="3760"/>
      <c r="AA5" s="3745"/>
      <c r="AB5" s="3745"/>
      <c r="AC5" s="3745"/>
    </row>
    <row r="6" spans="1:29" ht="15.75" thickBot="1">
      <c r="A6" s="360"/>
      <c r="B6" s="361"/>
      <c r="C6" s="3764" t="s">
        <v>1674</v>
      </c>
      <c r="D6" s="3765"/>
      <c r="E6" s="3771" t="s">
        <v>1674</v>
      </c>
      <c r="F6" s="3772"/>
      <c r="G6" s="3764" t="s">
        <v>1674</v>
      </c>
      <c r="H6" s="3765"/>
      <c r="I6" s="3764" t="s">
        <v>1674</v>
      </c>
      <c r="J6" s="3765"/>
      <c r="K6" s="559" t="s">
        <v>1675</v>
      </c>
      <c r="L6" s="2713"/>
      <c r="M6" s="2714"/>
      <c r="N6" s="2714"/>
      <c r="O6" s="2714"/>
      <c r="P6" s="3755"/>
      <c r="Q6" s="3756"/>
      <c r="R6" s="3759"/>
      <c r="S6" s="3760"/>
      <c r="T6" s="3761"/>
      <c r="U6" s="3762"/>
      <c r="V6" s="3763"/>
      <c r="W6" s="3763"/>
      <c r="X6" s="1354"/>
      <c r="Y6" s="3761"/>
      <c r="Z6" s="3762"/>
      <c r="AA6" s="3746"/>
      <c r="AB6" s="3746"/>
      <c r="AC6" s="3746"/>
    </row>
    <row r="7" spans="1:29" s="108" customFormat="1" ht="15.75" thickBot="1">
      <c r="A7" s="362" t="s">
        <v>1676</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8" t="s">
        <v>1677</v>
      </c>
      <c r="Q7" s="3770"/>
      <c r="R7" s="701" t="s">
        <v>14</v>
      </c>
      <c r="S7" s="702">
        <f t="shared" ref="S7:S14" si="0">F7</f>
        <v>0</v>
      </c>
      <c r="T7" s="701" t="s">
        <v>14</v>
      </c>
      <c r="U7" s="702">
        <f t="shared" ref="U7:U14" si="1">H7</f>
        <v>0</v>
      </c>
      <c r="V7" s="701" t="s">
        <v>14</v>
      </c>
      <c r="W7" s="702">
        <f t="shared" ref="W7:W14" si="2">J7</f>
        <v>0</v>
      </c>
      <c r="X7" s="703"/>
      <c r="Y7" s="3768" t="s">
        <v>1677</v>
      </c>
      <c r="Z7" s="3769"/>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8" t="s">
        <v>1680</v>
      </c>
      <c r="Q8" s="3769"/>
      <c r="R8" s="701" t="s">
        <v>14</v>
      </c>
      <c r="S8" s="702">
        <f t="shared" si="0"/>
        <v>100</v>
      </c>
      <c r="T8" s="701" t="s">
        <v>14</v>
      </c>
      <c r="U8" s="702">
        <f t="shared" si="1"/>
        <v>100</v>
      </c>
      <c r="V8" s="701" t="s">
        <v>14</v>
      </c>
      <c r="W8" s="702">
        <f t="shared" si="2"/>
        <v>100</v>
      </c>
      <c r="X8" s="703"/>
      <c r="Y8" s="3768" t="s">
        <v>1680</v>
      </c>
      <c r="Z8" s="3769"/>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2" t="s">
        <v>1683</v>
      </c>
      <c r="Q9" s="1342" t="str">
        <f t="shared" ref="Q9:Q14" si="6">B9</f>
        <v>用途</v>
      </c>
      <c r="R9" s="701" t="s">
        <v>14</v>
      </c>
      <c r="S9" s="702">
        <f t="shared" si="0"/>
        <v>100</v>
      </c>
      <c r="T9" s="701" t="s">
        <v>14</v>
      </c>
      <c r="U9" s="702">
        <f t="shared" si="1"/>
        <v>100</v>
      </c>
      <c r="V9" s="701" t="s">
        <v>14</v>
      </c>
      <c r="W9" s="702">
        <f t="shared" si="2"/>
        <v>100</v>
      </c>
      <c r="X9" s="703"/>
      <c r="Y9" s="3607" t="s">
        <v>1684</v>
      </c>
      <c r="Z9" s="52" t="str">
        <f t="shared" ref="Z9:Z14" si="7">Q9</f>
        <v>用途</v>
      </c>
      <c r="AA9" s="704">
        <f t="shared" si="3"/>
        <v>1</v>
      </c>
      <c r="AB9" s="704">
        <f t="shared" si="4"/>
        <v>1</v>
      </c>
      <c r="AC9" s="704">
        <f t="shared" si="5"/>
        <v>1</v>
      </c>
    </row>
    <row r="10" spans="1:29" s="378" customFormat="1" ht="27">
      <c r="A10" s="589"/>
      <c r="B10" s="590" t="s">
        <v>1685</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2"/>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2"/>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2"/>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2"/>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4" t="s">
        <v>1688</v>
      </c>
      <c r="Q14" s="1351" t="str">
        <f t="shared" si="6"/>
        <v>交通便捷度</v>
      </c>
      <c r="R14" s="705" t="s">
        <v>14</v>
      </c>
      <c r="S14" s="706">
        <f t="shared" si="0"/>
        <v>100</v>
      </c>
      <c r="T14" s="705" t="s">
        <v>14</v>
      </c>
      <c r="U14" s="706">
        <f t="shared" si="1"/>
        <v>100</v>
      </c>
      <c r="V14" s="705" t="s">
        <v>14</v>
      </c>
      <c r="W14" s="706">
        <f t="shared" si="2"/>
        <v>100</v>
      </c>
      <c r="X14" s="1354"/>
      <c r="Y14" s="3734"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35"/>
      <c r="Q15" s="1351"/>
      <c r="R15" s="705"/>
      <c r="S15" s="706"/>
      <c r="T15" s="705"/>
      <c r="U15" s="706"/>
      <c r="V15" s="705"/>
      <c r="W15" s="706"/>
      <c r="X15" s="1354"/>
      <c r="Y15" s="3735"/>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5"/>
      <c r="Q16" s="1351" t="str">
        <f>B16</f>
        <v>公共配套设施</v>
      </c>
      <c r="R16" s="705" t="s">
        <v>14</v>
      </c>
      <c r="S16" s="706">
        <f>F16</f>
        <v>100</v>
      </c>
      <c r="T16" s="705" t="s">
        <v>14</v>
      </c>
      <c r="U16" s="706">
        <f>H16</f>
        <v>100</v>
      </c>
      <c r="V16" s="705" t="s">
        <v>14</v>
      </c>
      <c r="W16" s="706">
        <f>J16</f>
        <v>100</v>
      </c>
      <c r="X16" s="1354"/>
      <c r="Y16" s="373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35"/>
      <c r="Q17" s="1351"/>
      <c r="R17" s="705"/>
      <c r="S17" s="706"/>
      <c r="T17" s="705"/>
      <c r="U17" s="706"/>
      <c r="V17" s="705"/>
      <c r="W17" s="706"/>
      <c r="X17" s="1354"/>
      <c r="Y17" s="3735"/>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5"/>
      <c r="Q18" s="1351" t="str">
        <f>B18</f>
        <v>基础设施水平</v>
      </c>
      <c r="R18" s="705" t="s">
        <v>14</v>
      </c>
      <c r="S18" s="706">
        <f>F18</f>
        <v>100</v>
      </c>
      <c r="T18" s="705" t="s">
        <v>14</v>
      </c>
      <c r="U18" s="706">
        <f>H18</f>
        <v>100</v>
      </c>
      <c r="V18" s="705" t="s">
        <v>14</v>
      </c>
      <c r="W18" s="706">
        <f>J18</f>
        <v>100</v>
      </c>
      <c r="X18" s="1354"/>
      <c r="Y18" s="373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35"/>
      <c r="Q19" s="1351"/>
      <c r="R19" s="705"/>
      <c r="S19" s="706"/>
      <c r="T19" s="705"/>
      <c r="U19" s="706"/>
      <c r="V19" s="705"/>
      <c r="W19" s="706"/>
      <c r="X19" s="1354"/>
      <c r="Y19" s="3735"/>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5"/>
      <c r="Q20" s="1351" t="str">
        <f>B20</f>
        <v>自然及人文环境</v>
      </c>
      <c r="R20" s="705" t="s">
        <v>14</v>
      </c>
      <c r="S20" s="706">
        <f>F20</f>
        <v>100</v>
      </c>
      <c r="T20" s="705" t="s">
        <v>14</v>
      </c>
      <c r="U20" s="706">
        <f>H20</f>
        <v>100</v>
      </c>
      <c r="V20" s="705" t="s">
        <v>14</v>
      </c>
      <c r="W20" s="706">
        <f>J20</f>
        <v>100</v>
      </c>
      <c r="X20" s="1354"/>
      <c r="Y20" s="373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35"/>
      <c r="Q21" s="1351"/>
      <c r="R21" s="705"/>
      <c r="S21" s="706"/>
      <c r="T21" s="705"/>
      <c r="U21" s="706"/>
      <c r="V21" s="705"/>
      <c r="W21" s="706"/>
      <c r="X21" s="1354"/>
      <c r="Y21" s="3735"/>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5"/>
      <c r="Q22" s="1351" t="str">
        <f>B22</f>
        <v>楼层</v>
      </c>
      <c r="R22" s="705" t="s">
        <v>14</v>
      </c>
      <c r="S22" s="706">
        <f>F22</f>
        <v>100</v>
      </c>
      <c r="T22" s="705" t="s">
        <v>14</v>
      </c>
      <c r="U22" s="706">
        <f>H22</f>
        <v>100</v>
      </c>
      <c r="V22" s="705" t="s">
        <v>14</v>
      </c>
      <c r="W22" s="706">
        <f>J22</f>
        <v>100</v>
      </c>
      <c r="X22" s="1354"/>
      <c r="Y22" s="373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5"/>
      <c r="Q23" s="1351">
        <f>B23</f>
        <v>111</v>
      </c>
      <c r="R23" s="705" t="s">
        <v>14</v>
      </c>
      <c r="S23" s="706">
        <f>F23</f>
        <v>100</v>
      </c>
      <c r="T23" s="705" t="s">
        <v>14</v>
      </c>
      <c r="U23" s="706">
        <f>H23</f>
        <v>100</v>
      </c>
      <c r="V23" s="705" t="s">
        <v>14</v>
      </c>
      <c r="W23" s="706">
        <f>J23</f>
        <v>100</v>
      </c>
      <c r="X23" s="1354"/>
      <c r="Y23" s="373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5"/>
      <c r="Q24" s="1351">
        <f t="shared" ref="Q24:Q36" si="11">B24</f>
        <v>111</v>
      </c>
      <c r="R24" s="705" t="s">
        <v>14</v>
      </c>
      <c r="S24" s="706">
        <f>F24</f>
        <v>100</v>
      </c>
      <c r="T24" s="705" t="s">
        <v>14</v>
      </c>
      <c r="U24" s="706">
        <f>H24</f>
        <v>100</v>
      </c>
      <c r="V24" s="705" t="s">
        <v>14</v>
      </c>
      <c r="W24" s="706">
        <f>J24</f>
        <v>100</v>
      </c>
      <c r="X24" s="1354"/>
      <c r="Y24" s="373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5"/>
      <c r="Q25" s="1342">
        <f t="shared" si="11"/>
        <v>111</v>
      </c>
      <c r="R25" s="701" t="s">
        <v>14</v>
      </c>
      <c r="S25" s="702">
        <f>F25</f>
        <v>100</v>
      </c>
      <c r="T25" s="701" t="s">
        <v>14</v>
      </c>
      <c r="U25" s="702">
        <f>H25</f>
        <v>100</v>
      </c>
      <c r="V25" s="701" t="s">
        <v>14</v>
      </c>
      <c r="W25" s="702">
        <f>J25</f>
        <v>100</v>
      </c>
      <c r="X25" s="703"/>
      <c r="Y25" s="3735"/>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92"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9"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9"/>
      <c r="Q28" s="1351" t="str">
        <f t="shared" si="11"/>
        <v>公共部分装修</v>
      </c>
      <c r="R28" s="705" t="s">
        <v>14</v>
      </c>
      <c r="S28" s="706">
        <f t="shared" si="12"/>
        <v>100</v>
      </c>
      <c r="T28" s="705" t="s">
        <v>14</v>
      </c>
      <c r="U28" s="706">
        <f t="shared" si="13"/>
        <v>100</v>
      </c>
      <c r="V28" s="705" t="s">
        <v>14</v>
      </c>
      <c r="W28" s="706">
        <f t="shared" si="14"/>
        <v>100</v>
      </c>
      <c r="X28" s="1354"/>
      <c r="Y28" s="3739"/>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9"/>
      <c r="Q29" s="1351" t="str">
        <f t="shared" si="11"/>
        <v>成新率</v>
      </c>
      <c r="R29" s="705" t="s">
        <v>14</v>
      </c>
      <c r="S29" s="706" t="e">
        <f t="shared" si="12"/>
        <v>#N/A</v>
      </c>
      <c r="T29" s="705" t="s">
        <v>14</v>
      </c>
      <c r="U29" s="706" t="e">
        <f t="shared" si="13"/>
        <v>#N/A</v>
      </c>
      <c r="V29" s="705" t="s">
        <v>14</v>
      </c>
      <c r="W29" s="706" t="e">
        <f t="shared" si="14"/>
        <v>#N/A</v>
      </c>
      <c r="X29" s="1354"/>
      <c r="Y29" s="3739"/>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9"/>
      <c r="Q30" s="1351" t="str">
        <f t="shared" si="11"/>
        <v>物业等级</v>
      </c>
      <c r="R30" s="705" t="s">
        <v>14</v>
      </c>
      <c r="S30" s="706">
        <f t="shared" si="12"/>
        <v>100</v>
      </c>
      <c r="T30" s="705" t="s">
        <v>14</v>
      </c>
      <c r="U30" s="706">
        <f t="shared" si="13"/>
        <v>100</v>
      </c>
      <c r="V30" s="705" t="s">
        <v>14</v>
      </c>
      <c r="W30" s="706">
        <f t="shared" si="14"/>
        <v>100</v>
      </c>
      <c r="X30" s="1354"/>
      <c r="Y30" s="3739"/>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9"/>
      <c r="Q31" s="1342"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9" t="s">
        <v>1693</v>
      </c>
      <c r="Q32" s="1351" t="str">
        <f t="shared" si="11"/>
        <v>车位类型</v>
      </c>
      <c r="R32" s="705" t="s">
        <v>14</v>
      </c>
      <c r="S32" s="706">
        <f t="shared" si="12"/>
        <v>100</v>
      </c>
      <c r="T32" s="705" t="s">
        <v>14</v>
      </c>
      <c r="U32" s="706">
        <f t="shared" si="13"/>
        <v>100</v>
      </c>
      <c r="V32" s="705" t="s">
        <v>14</v>
      </c>
      <c r="W32" s="706">
        <f t="shared" si="14"/>
        <v>100</v>
      </c>
      <c r="X32" s="1354"/>
      <c r="Y32" s="3739"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9"/>
      <c r="Q33" s="1351" t="str">
        <f t="shared" si="11"/>
        <v>是否直接入户</v>
      </c>
      <c r="R33" s="705" t="s">
        <v>14</v>
      </c>
      <c r="S33" s="706">
        <f t="shared" si="12"/>
        <v>100</v>
      </c>
      <c r="T33" s="705" t="s">
        <v>14</v>
      </c>
      <c r="U33" s="706">
        <f t="shared" si="13"/>
        <v>100</v>
      </c>
      <c r="V33" s="705" t="s">
        <v>14</v>
      </c>
      <c r="W33" s="706">
        <f t="shared" si="14"/>
        <v>100</v>
      </c>
      <c r="X33" s="1354"/>
      <c r="Y33" s="373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9"/>
      <c r="Q34" s="1351">
        <f t="shared" si="11"/>
        <v>111</v>
      </c>
      <c r="R34" s="705" t="s">
        <v>14</v>
      </c>
      <c r="S34" s="706">
        <f t="shared" si="12"/>
        <v>100</v>
      </c>
      <c r="T34" s="705" t="s">
        <v>14</v>
      </c>
      <c r="U34" s="706">
        <f t="shared" si="13"/>
        <v>100</v>
      </c>
      <c r="V34" s="705" t="s">
        <v>14</v>
      </c>
      <c r="W34" s="706">
        <f t="shared" si="14"/>
        <v>100</v>
      </c>
      <c r="X34" s="1354"/>
      <c r="Y34" s="373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9"/>
      <c r="Q36" s="1351">
        <f t="shared" si="11"/>
        <v>111</v>
      </c>
      <c r="R36" s="705" t="s">
        <v>14</v>
      </c>
      <c r="S36" s="706">
        <f t="shared" si="12"/>
        <v>100</v>
      </c>
      <c r="T36" s="705" t="s">
        <v>14</v>
      </c>
      <c r="U36" s="706">
        <f t="shared" si="13"/>
        <v>100</v>
      </c>
      <c r="V36" s="705" t="s">
        <v>14</v>
      </c>
      <c r="W36" s="706">
        <f t="shared" si="14"/>
        <v>100</v>
      </c>
      <c r="X36" s="1354"/>
      <c r="Y36" s="3739"/>
      <c r="Z36" s="1355">
        <f t="shared" si="15"/>
        <v>111</v>
      </c>
      <c r="AA36" s="1352">
        <f t="shared" si="3"/>
        <v>1</v>
      </c>
      <c r="AB36" s="1352">
        <f t="shared" si="4"/>
        <v>1</v>
      </c>
      <c r="AC36" s="1352">
        <f t="shared" si="5"/>
        <v>1</v>
      </c>
    </row>
    <row r="37" spans="1:29" ht="15">
      <c r="A37" s="430" t="s">
        <v>1841</v>
      </c>
      <c r="B37" s="1972" t="s">
        <v>3354</v>
      </c>
      <c r="C37" s="1154" t="s">
        <v>0</v>
      </c>
      <c r="D37" s="1155"/>
      <c r="E37" s="1156"/>
      <c r="F37" s="1157"/>
      <c r="G37" s="1158"/>
      <c r="H37" s="1159"/>
      <c r="I37" s="1156"/>
      <c r="J37" s="1159"/>
      <c r="K37" s="568"/>
      <c r="L37" s="2722"/>
      <c r="M37" s="2723"/>
      <c r="N37" s="2714"/>
      <c r="O37" s="2723"/>
      <c r="P37" s="3732" t="str">
        <f>A37</f>
        <v>成交单价</v>
      </c>
      <c r="Q37" s="3732"/>
      <c r="R37" s="3733">
        <f>E37</f>
        <v>0</v>
      </c>
      <c r="S37" s="3733"/>
      <c r="T37" s="3733">
        <f>G37</f>
        <v>0</v>
      </c>
      <c r="U37" s="3733"/>
      <c r="V37" s="3733">
        <f>I37</f>
        <v>0</v>
      </c>
      <c r="W37" s="3733"/>
      <c r="X37" s="690"/>
      <c r="Y37" s="712"/>
      <c r="Z37" s="690"/>
      <c r="AA37" s="690"/>
      <c r="AB37" s="690"/>
      <c r="AC37" s="690"/>
    </row>
    <row r="38" spans="1:29" ht="15.75" thickBot="1">
      <c r="A38" s="437" t="s">
        <v>1842</v>
      </c>
      <c r="B38" s="438" t="str">
        <f>B37</f>
        <v>元/平方米</v>
      </c>
      <c r="C38" s="1160" t="e">
        <f>R39</f>
        <v>#DIV/0!</v>
      </c>
      <c r="D38" s="2316" t="s">
        <v>2135</v>
      </c>
      <c r="E38" s="1161" t="e">
        <f>R38</f>
        <v>#DIV/0!</v>
      </c>
      <c r="F38" s="2317"/>
      <c r="G38" s="1160" t="e">
        <f>T38</f>
        <v>#DIV/0!</v>
      </c>
      <c r="H38" s="2317"/>
      <c r="I38" s="1161" t="e">
        <f>V38</f>
        <v>#DIV/0!</v>
      </c>
      <c r="J38" s="2317"/>
      <c r="K38" s="2319">
        <f>F38+H38+J38</f>
        <v>0</v>
      </c>
      <c r="L38" s="2722"/>
      <c r="M38" s="2723"/>
      <c r="N38" s="2723"/>
      <c r="O38" s="2723"/>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2"/>
      <c r="M39" s="2723"/>
      <c r="N39" s="2723"/>
      <c r="O39" s="2723"/>
      <c r="P39" s="3729" t="str">
        <f>A39</f>
        <v>估价对象XX用房的比较价值（楼面单价，元/平方米）</v>
      </c>
      <c r="Q39" s="3730"/>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1847</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1848</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1685</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1724</v>
      </c>
      <c r="C65" s="527" t="s">
        <v>1718</v>
      </c>
      <c r="D65" s="527" t="s">
        <v>1719</v>
      </c>
      <c r="E65" s="527" t="s">
        <v>1720</v>
      </c>
      <c r="F65" s="527" t="s">
        <v>1721</v>
      </c>
      <c r="G65" s="527" t="s">
        <v>1722</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1810</v>
      </c>
      <c r="C67" s="608" t="s">
        <v>1796</v>
      </c>
      <c r="D67" s="608" t="s">
        <v>1797</v>
      </c>
      <c r="E67" s="608" t="s">
        <v>1798</v>
      </c>
      <c r="F67" s="608" t="s">
        <v>1799</v>
      </c>
      <c r="G67" s="608" t="s">
        <v>1800</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1730</v>
      </c>
      <c r="C69" s="527" t="s">
        <v>1718</v>
      </c>
      <c r="D69" s="527" t="s">
        <v>1719</v>
      </c>
      <c r="E69" s="527" t="s">
        <v>1720</v>
      </c>
      <c r="F69" s="527" t="s">
        <v>1721</v>
      </c>
      <c r="G69" s="527" t="s">
        <v>1722</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1849</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1691</v>
      </c>
      <c r="B79" s="477" t="s">
        <v>1850</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1851</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1737</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1853</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1855</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1856</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3334</v>
      </c>
      <c r="C1" s="1223" t="s">
        <v>1659</v>
      </c>
      <c r="D1" s="1224"/>
      <c r="E1" s="3431"/>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51" t="s">
        <v>1772</v>
      </c>
      <c r="Q4" s="3752"/>
      <c r="R4" s="3757" t="s">
        <v>1768</v>
      </c>
      <c r="S4" s="3758"/>
      <c r="T4" s="3757" t="s">
        <v>1769</v>
      </c>
      <c r="U4" s="3758"/>
      <c r="V4" s="3763" t="s">
        <v>1770</v>
      </c>
      <c r="W4" s="3763"/>
      <c r="X4" s="1354"/>
      <c r="Y4" s="3757" t="s">
        <v>1772</v>
      </c>
      <c r="Z4" s="3758"/>
      <c r="AA4" s="3744" t="s">
        <v>1768</v>
      </c>
      <c r="AB4" s="3745" t="s">
        <v>1769</v>
      </c>
      <c r="AC4" s="3744" t="s">
        <v>1770</v>
      </c>
    </row>
    <row r="5" spans="1:29" ht="15">
      <c r="A5" s="358"/>
      <c r="B5" s="359"/>
      <c r="C5" s="3766" t="s">
        <v>1670</v>
      </c>
      <c r="D5" s="3767"/>
      <c r="E5" s="3773" t="s">
        <v>1671</v>
      </c>
      <c r="F5" s="3774"/>
      <c r="G5" s="3766" t="s">
        <v>1672</v>
      </c>
      <c r="H5" s="3767"/>
      <c r="I5" s="3766" t="s">
        <v>1673</v>
      </c>
      <c r="J5" s="3767"/>
      <c r="K5" s="559"/>
      <c r="L5" s="2713"/>
      <c r="M5" s="2714"/>
      <c r="N5" s="2714"/>
      <c r="O5" s="2714"/>
      <c r="P5" s="3753"/>
      <c r="Q5" s="3754"/>
      <c r="R5" s="3759"/>
      <c r="S5" s="3760"/>
      <c r="T5" s="3759"/>
      <c r="U5" s="3760"/>
      <c r="V5" s="3763"/>
      <c r="W5" s="3763"/>
      <c r="X5" s="1354"/>
      <c r="Y5" s="3759"/>
      <c r="Z5" s="3760"/>
      <c r="AA5" s="3745"/>
      <c r="AB5" s="3745"/>
      <c r="AC5" s="3745"/>
    </row>
    <row r="6" spans="1:29" ht="15.75" thickBot="1">
      <c r="A6" s="360"/>
      <c r="B6" s="361"/>
      <c r="C6" s="3764" t="s">
        <v>1674</v>
      </c>
      <c r="D6" s="3765"/>
      <c r="E6" s="3771" t="s">
        <v>1674</v>
      </c>
      <c r="F6" s="3772"/>
      <c r="G6" s="3764" t="s">
        <v>1674</v>
      </c>
      <c r="H6" s="3765"/>
      <c r="I6" s="3764" t="s">
        <v>1674</v>
      </c>
      <c r="J6" s="3765"/>
      <c r="K6" s="559" t="s">
        <v>1675</v>
      </c>
      <c r="L6" s="2713"/>
      <c r="M6" s="2714"/>
      <c r="N6" s="2714"/>
      <c r="O6" s="2714"/>
      <c r="P6" s="3755"/>
      <c r="Q6" s="3756"/>
      <c r="R6" s="3759"/>
      <c r="S6" s="3760"/>
      <c r="T6" s="3761"/>
      <c r="U6" s="3762"/>
      <c r="V6" s="3763"/>
      <c r="W6" s="3763"/>
      <c r="X6" s="1354"/>
      <c r="Y6" s="3761"/>
      <c r="Z6" s="3762"/>
      <c r="AA6" s="3746"/>
      <c r="AB6" s="3746"/>
      <c r="AC6" s="3746"/>
    </row>
    <row r="7" spans="1:29" s="108" customFormat="1" ht="15.75" thickBot="1">
      <c r="A7" s="362" t="s">
        <v>1676</v>
      </c>
      <c r="B7" s="363"/>
      <c r="C7" s="364">
        <f>'数据-取费表'!B2</f>
        <v>45372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68" t="s">
        <v>1677</v>
      </c>
      <c r="Q7" s="3770"/>
      <c r="R7" s="701" t="s">
        <v>14</v>
      </c>
      <c r="S7" s="702">
        <f t="shared" ref="S7:S14" si="0">F7</f>
        <v>0</v>
      </c>
      <c r="T7" s="701" t="s">
        <v>14</v>
      </c>
      <c r="U7" s="702">
        <f t="shared" ref="U7:U14" si="1">H7</f>
        <v>0</v>
      </c>
      <c r="V7" s="701" t="s">
        <v>14</v>
      </c>
      <c r="W7" s="702">
        <f t="shared" ref="W7:W14" si="2">J7</f>
        <v>0</v>
      </c>
      <c r="X7" s="703"/>
      <c r="Y7" s="3768" t="s">
        <v>1677</v>
      </c>
      <c r="Z7" s="3769"/>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8" t="s">
        <v>1680</v>
      </c>
      <c r="Q8" s="3769"/>
      <c r="R8" s="701" t="s">
        <v>14</v>
      </c>
      <c r="S8" s="702">
        <f t="shared" si="0"/>
        <v>100</v>
      </c>
      <c r="T8" s="701" t="s">
        <v>14</v>
      </c>
      <c r="U8" s="702">
        <f t="shared" si="1"/>
        <v>100</v>
      </c>
      <c r="V8" s="701" t="s">
        <v>14</v>
      </c>
      <c r="W8" s="702">
        <f t="shared" si="2"/>
        <v>100</v>
      </c>
      <c r="X8" s="703"/>
      <c r="Y8" s="3768" t="s">
        <v>1680</v>
      </c>
      <c r="Z8" s="3769"/>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2" t="s">
        <v>1683</v>
      </c>
      <c r="Q9" s="1342" t="str">
        <f t="shared" ref="Q9:Q14" si="6">B9</f>
        <v>用途</v>
      </c>
      <c r="R9" s="701" t="s">
        <v>14</v>
      </c>
      <c r="S9" s="702">
        <f t="shared" si="0"/>
        <v>100</v>
      </c>
      <c r="T9" s="701" t="s">
        <v>14</v>
      </c>
      <c r="U9" s="702">
        <f t="shared" si="1"/>
        <v>100</v>
      </c>
      <c r="V9" s="701" t="s">
        <v>14</v>
      </c>
      <c r="W9" s="702">
        <f t="shared" si="2"/>
        <v>100</v>
      </c>
      <c r="X9" s="703"/>
      <c r="Y9" s="3607" t="s">
        <v>1684</v>
      </c>
      <c r="Z9" s="52" t="str">
        <f t="shared" ref="Z9:Z14" si="7">Q9</f>
        <v>用途</v>
      </c>
      <c r="AA9" s="704">
        <f t="shared" si="3"/>
        <v>1</v>
      </c>
      <c r="AB9" s="704">
        <f t="shared" si="4"/>
        <v>1</v>
      </c>
      <c r="AC9" s="704">
        <f t="shared" si="5"/>
        <v>1</v>
      </c>
    </row>
    <row r="10" spans="1:29" s="378" customFormat="1" ht="27">
      <c r="A10" s="374"/>
      <c r="B10" s="375" t="s">
        <v>1685</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2"/>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2"/>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2"/>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2"/>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4" t="s">
        <v>1688</v>
      </c>
      <c r="Q14" s="1351" t="str">
        <f t="shared" si="6"/>
        <v>交通便捷度</v>
      </c>
      <c r="R14" s="705" t="s">
        <v>14</v>
      </c>
      <c r="S14" s="706">
        <f t="shared" si="0"/>
        <v>100</v>
      </c>
      <c r="T14" s="705" t="s">
        <v>14</v>
      </c>
      <c r="U14" s="706">
        <f t="shared" si="1"/>
        <v>100</v>
      </c>
      <c r="V14" s="705" t="s">
        <v>14</v>
      </c>
      <c r="W14" s="706">
        <f t="shared" si="2"/>
        <v>100</v>
      </c>
      <c r="X14" s="1354"/>
      <c r="Y14" s="3734"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35"/>
      <c r="Q15" s="1351"/>
      <c r="R15" s="705"/>
      <c r="S15" s="706"/>
      <c r="T15" s="705"/>
      <c r="U15" s="706"/>
      <c r="V15" s="705"/>
      <c r="W15" s="706"/>
      <c r="X15" s="1354"/>
      <c r="Y15" s="3735"/>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5"/>
      <c r="Q16" s="1351" t="str">
        <f>B16</f>
        <v>公共配套设施</v>
      </c>
      <c r="R16" s="705" t="s">
        <v>14</v>
      </c>
      <c r="S16" s="706">
        <f>F16</f>
        <v>100</v>
      </c>
      <c r="T16" s="705" t="s">
        <v>14</v>
      </c>
      <c r="U16" s="706">
        <f>H16</f>
        <v>100</v>
      </c>
      <c r="V16" s="705" t="s">
        <v>14</v>
      </c>
      <c r="W16" s="706">
        <f>J16</f>
        <v>100</v>
      </c>
      <c r="X16" s="1354"/>
      <c r="Y16" s="373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35"/>
      <c r="Q17" s="1351"/>
      <c r="R17" s="705"/>
      <c r="S17" s="706"/>
      <c r="T17" s="705"/>
      <c r="U17" s="706"/>
      <c r="V17" s="705"/>
      <c r="W17" s="706"/>
      <c r="X17" s="1354"/>
      <c r="Y17" s="3735"/>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5"/>
      <c r="Q18" s="1351" t="str">
        <f>B18</f>
        <v>基础设施水平</v>
      </c>
      <c r="R18" s="705" t="s">
        <v>14</v>
      </c>
      <c r="S18" s="706">
        <f>F18</f>
        <v>100</v>
      </c>
      <c r="T18" s="705" t="s">
        <v>14</v>
      </c>
      <c r="U18" s="706">
        <f>H18</f>
        <v>100</v>
      </c>
      <c r="V18" s="705" t="s">
        <v>14</v>
      </c>
      <c r="W18" s="706">
        <f>J18</f>
        <v>100</v>
      </c>
      <c r="X18" s="1354"/>
      <c r="Y18" s="373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35"/>
      <c r="Q19" s="1351"/>
      <c r="R19" s="705"/>
      <c r="S19" s="706"/>
      <c r="T19" s="705"/>
      <c r="U19" s="706"/>
      <c r="V19" s="705"/>
      <c r="W19" s="706"/>
      <c r="X19" s="1354"/>
      <c r="Y19" s="3735"/>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5"/>
      <c r="Q20" s="1351" t="str">
        <f>B20</f>
        <v>自然及人文环境</v>
      </c>
      <c r="R20" s="705" t="s">
        <v>14</v>
      </c>
      <c r="S20" s="706">
        <f>F20</f>
        <v>100</v>
      </c>
      <c r="T20" s="705" t="s">
        <v>14</v>
      </c>
      <c r="U20" s="706">
        <f>H20</f>
        <v>100</v>
      </c>
      <c r="V20" s="705" t="s">
        <v>14</v>
      </c>
      <c r="W20" s="706">
        <f>J20</f>
        <v>100</v>
      </c>
      <c r="X20" s="1354"/>
      <c r="Y20" s="373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35"/>
      <c r="Q21" s="1351"/>
      <c r="R21" s="705"/>
      <c r="S21" s="706"/>
      <c r="T21" s="705"/>
      <c r="U21" s="706"/>
      <c r="V21" s="705"/>
      <c r="W21" s="706"/>
      <c r="X21" s="1354"/>
      <c r="Y21" s="3735"/>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5"/>
      <c r="Q22" s="1351" t="str">
        <f>B22</f>
        <v>楼层</v>
      </c>
      <c r="R22" s="705" t="s">
        <v>14</v>
      </c>
      <c r="S22" s="706">
        <f>F22</f>
        <v>100</v>
      </c>
      <c r="T22" s="705" t="s">
        <v>14</v>
      </c>
      <c r="U22" s="706">
        <f>H22</f>
        <v>100</v>
      </c>
      <c r="V22" s="705" t="s">
        <v>14</v>
      </c>
      <c r="W22" s="706">
        <f>J22</f>
        <v>100</v>
      </c>
      <c r="X22" s="1354"/>
      <c r="Y22" s="373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5"/>
      <c r="Q23" s="1351">
        <f>B23</f>
        <v>111</v>
      </c>
      <c r="R23" s="705" t="s">
        <v>14</v>
      </c>
      <c r="S23" s="706">
        <f>F23</f>
        <v>100</v>
      </c>
      <c r="T23" s="705" t="s">
        <v>14</v>
      </c>
      <c r="U23" s="706">
        <f>H23</f>
        <v>100</v>
      </c>
      <c r="V23" s="705" t="s">
        <v>14</v>
      </c>
      <c r="W23" s="706">
        <f>J23</f>
        <v>100</v>
      </c>
      <c r="X23" s="1354"/>
      <c r="Y23" s="373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5"/>
      <c r="Q24" s="1351">
        <f t="shared" ref="Q24:Q34" si="11">B24</f>
        <v>111</v>
      </c>
      <c r="R24" s="705" t="s">
        <v>14</v>
      </c>
      <c r="S24" s="706">
        <f>F24</f>
        <v>100</v>
      </c>
      <c r="T24" s="705" t="s">
        <v>14</v>
      </c>
      <c r="U24" s="706">
        <f>H24</f>
        <v>100</v>
      </c>
      <c r="V24" s="705" t="s">
        <v>14</v>
      </c>
      <c r="W24" s="706">
        <f>J24</f>
        <v>100</v>
      </c>
      <c r="X24" s="1354"/>
      <c r="Y24" s="373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5"/>
      <c r="Q25" s="1342">
        <f t="shared" si="11"/>
        <v>111</v>
      </c>
      <c r="R25" s="701" t="s">
        <v>14</v>
      </c>
      <c r="S25" s="702">
        <f>F25</f>
        <v>100</v>
      </c>
      <c r="T25" s="701" t="s">
        <v>14</v>
      </c>
      <c r="U25" s="702">
        <f>H25</f>
        <v>100</v>
      </c>
      <c r="V25" s="701" t="s">
        <v>14</v>
      </c>
      <c r="W25" s="702">
        <f>J25</f>
        <v>100</v>
      </c>
      <c r="X25" s="703"/>
      <c r="Y25" s="3735"/>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92"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9"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9"/>
      <c r="Q28" s="1351" t="str">
        <f t="shared" si="11"/>
        <v>物业等级</v>
      </c>
      <c r="R28" s="705" t="s">
        <v>14</v>
      </c>
      <c r="S28" s="706">
        <f t="shared" si="12"/>
        <v>100</v>
      </c>
      <c r="T28" s="705" t="s">
        <v>14</v>
      </c>
      <c r="U28" s="706">
        <f t="shared" si="13"/>
        <v>100</v>
      </c>
      <c r="V28" s="705" t="s">
        <v>14</v>
      </c>
      <c r="W28" s="706">
        <f t="shared" si="14"/>
        <v>100</v>
      </c>
      <c r="X28" s="1354"/>
      <c r="Y28" s="3739"/>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9"/>
      <c r="Q29" s="1351" t="str">
        <f t="shared" si="11"/>
        <v>有无电梯</v>
      </c>
      <c r="R29" s="705" t="s">
        <v>14</v>
      </c>
      <c r="S29" s="706">
        <f t="shared" si="12"/>
        <v>100</v>
      </c>
      <c r="T29" s="705" t="s">
        <v>14</v>
      </c>
      <c r="U29" s="706">
        <f t="shared" si="13"/>
        <v>100</v>
      </c>
      <c r="V29" s="705" t="s">
        <v>14</v>
      </c>
      <c r="W29" s="706">
        <f t="shared" si="14"/>
        <v>100</v>
      </c>
      <c r="X29" s="1354"/>
      <c r="Y29" s="3739"/>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9"/>
      <c r="Q30" s="1351" t="str">
        <f t="shared" si="11"/>
        <v>建筑面积</v>
      </c>
      <c r="R30" s="705" t="s">
        <v>14</v>
      </c>
      <c r="S30" s="706" t="e">
        <f t="shared" si="12"/>
        <v>#N/A</v>
      </c>
      <c r="T30" s="705" t="s">
        <v>14</v>
      </c>
      <c r="U30" s="706" t="e">
        <f t="shared" si="13"/>
        <v>#N/A</v>
      </c>
      <c r="V30" s="705" t="s">
        <v>14</v>
      </c>
      <c r="W30" s="706" t="e">
        <f t="shared" si="14"/>
        <v>#N/A</v>
      </c>
      <c r="X30" s="1354"/>
      <c r="Y30" s="3739"/>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9"/>
      <c r="Q31" s="1342"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9" t="s">
        <v>1693</v>
      </c>
      <c r="Q32" s="1351">
        <f t="shared" si="11"/>
        <v>111</v>
      </c>
      <c r="R32" s="705" t="s">
        <v>14</v>
      </c>
      <c r="S32" s="706">
        <f t="shared" si="12"/>
        <v>100</v>
      </c>
      <c r="T32" s="705" t="s">
        <v>14</v>
      </c>
      <c r="U32" s="706">
        <f t="shared" si="13"/>
        <v>100</v>
      </c>
      <c r="V32" s="705" t="s">
        <v>14</v>
      </c>
      <c r="W32" s="706">
        <f t="shared" si="14"/>
        <v>100</v>
      </c>
      <c r="X32" s="1354"/>
      <c r="Y32" s="3739"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9"/>
      <c r="Q33" s="1351">
        <f t="shared" si="11"/>
        <v>111</v>
      </c>
      <c r="R33" s="705" t="s">
        <v>14</v>
      </c>
      <c r="S33" s="706">
        <f t="shared" si="12"/>
        <v>100</v>
      </c>
      <c r="T33" s="705" t="s">
        <v>14</v>
      </c>
      <c r="U33" s="706">
        <f t="shared" si="13"/>
        <v>100</v>
      </c>
      <c r="V33" s="705" t="s">
        <v>14</v>
      </c>
      <c r="W33" s="706">
        <f t="shared" si="14"/>
        <v>100</v>
      </c>
      <c r="X33" s="1354"/>
      <c r="Y33" s="373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9"/>
      <c r="Q34" s="1351">
        <f t="shared" si="11"/>
        <v>111</v>
      </c>
      <c r="R34" s="705" t="s">
        <v>14</v>
      </c>
      <c r="S34" s="706">
        <f t="shared" si="12"/>
        <v>100</v>
      </c>
      <c r="T34" s="705" t="s">
        <v>14</v>
      </c>
      <c r="U34" s="706">
        <f t="shared" si="13"/>
        <v>100</v>
      </c>
      <c r="V34" s="705" t="s">
        <v>14</v>
      </c>
      <c r="W34" s="706">
        <f t="shared" si="14"/>
        <v>100</v>
      </c>
      <c r="X34" s="1354"/>
      <c r="Y34" s="3739"/>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2"/>
      <c r="M35" s="2723"/>
      <c r="N35" s="2714"/>
      <c r="O35" s="2723"/>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75" thickBot="1">
      <c r="A36" s="437" t="s">
        <v>1790</v>
      </c>
      <c r="B36" s="438"/>
      <c r="C36" s="1160" t="e">
        <f>R37</f>
        <v>#DIV/0!</v>
      </c>
      <c r="D36" s="2316" t="s">
        <v>2135</v>
      </c>
      <c r="E36" s="1161" t="e">
        <f>R36</f>
        <v>#DIV/0!</v>
      </c>
      <c r="F36" s="2317"/>
      <c r="G36" s="1160" t="e">
        <f>T36</f>
        <v>#DIV/0!</v>
      </c>
      <c r="H36" s="2317"/>
      <c r="I36" s="1161" t="e">
        <f>V36</f>
        <v>#DIV/0!</v>
      </c>
      <c r="J36" s="2317"/>
      <c r="K36" s="2319">
        <f>F36+H36+J36</f>
        <v>0</v>
      </c>
      <c r="L36" s="2722"/>
      <c r="M36" s="2723"/>
      <c r="N36" s="2714"/>
      <c r="O36" s="2723"/>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2"/>
      <c r="M37" s="2723"/>
      <c r="N37" s="2723"/>
      <c r="O37" s="2723"/>
      <c r="P37" s="3729" t="str">
        <f>A37</f>
        <v>估价对象XX用房的比较价值（楼面单价，元/平方米）</v>
      </c>
      <c r="Q37" s="3730"/>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1795</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1676</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1685</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1860</v>
      </c>
      <c r="C63" s="527" t="s">
        <v>1718</v>
      </c>
      <c r="D63" s="527" t="s">
        <v>1719</v>
      </c>
      <c r="E63" s="527" t="s">
        <v>1720</v>
      </c>
      <c r="F63" s="527" t="s">
        <v>1721</v>
      </c>
      <c r="G63" s="527" t="s">
        <v>1722</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1810</v>
      </c>
      <c r="C65" s="608" t="s">
        <v>1796</v>
      </c>
      <c r="D65" s="608" t="s">
        <v>1797</v>
      </c>
      <c r="E65" s="608" t="s">
        <v>1798</v>
      </c>
      <c r="F65" s="608" t="s">
        <v>1799</v>
      </c>
      <c r="G65" s="608" t="s">
        <v>1800</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1730</v>
      </c>
      <c r="C67" s="527" t="s">
        <v>1718</v>
      </c>
      <c r="D67" s="527" t="s">
        <v>1719</v>
      </c>
      <c r="E67" s="527" t="s">
        <v>1720</v>
      </c>
      <c r="F67" s="527" t="s">
        <v>1721</v>
      </c>
      <c r="G67" s="527" t="s">
        <v>1722</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1849</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1691</v>
      </c>
      <c r="B77" s="477" t="s">
        <v>1737</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1853</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1861</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1863</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48" sqref="C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17163</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4666</v>
      </c>
      <c r="C3" s="203" t="s">
        <v>1866</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1766</v>
      </c>
      <c r="B4" s="356"/>
      <c r="C4" s="3747" t="s">
        <v>1767</v>
      </c>
      <c r="D4" s="3748"/>
      <c r="E4" s="3749" t="s">
        <v>1768</v>
      </c>
      <c r="F4" s="3750"/>
      <c r="G4" s="3747" t="s">
        <v>1769</v>
      </c>
      <c r="H4" s="3748"/>
      <c r="I4" s="3747" t="s">
        <v>1770</v>
      </c>
      <c r="J4" s="3748"/>
      <c r="K4" s="559" t="s">
        <v>1771</v>
      </c>
      <c r="L4" s="2713"/>
      <c r="M4" s="2714"/>
      <c r="N4" s="2714"/>
      <c r="O4" s="2714"/>
      <c r="P4" s="3751" t="s">
        <v>1772</v>
      </c>
      <c r="Q4" s="3752"/>
      <c r="R4" s="3757" t="s">
        <v>1768</v>
      </c>
      <c r="S4" s="3758"/>
      <c r="T4" s="3757" t="s">
        <v>1769</v>
      </c>
      <c r="U4" s="3758"/>
      <c r="V4" s="3763" t="s">
        <v>1770</v>
      </c>
      <c r="W4" s="3763"/>
      <c r="X4" s="1354"/>
      <c r="Y4" s="3757" t="s">
        <v>1772</v>
      </c>
      <c r="Z4" s="3758"/>
      <c r="AA4" s="3744" t="s">
        <v>1768</v>
      </c>
      <c r="AB4" s="3745" t="s">
        <v>1769</v>
      </c>
      <c r="AC4" s="3744" t="s">
        <v>1770</v>
      </c>
    </row>
    <row r="5" spans="1:30" ht="93.75" customHeight="1">
      <c r="A5" s="358"/>
      <c r="B5" s="359"/>
      <c r="C5" s="3790" t="s">
        <v>3615</v>
      </c>
      <c r="D5" s="3767"/>
      <c r="E5" s="3773" t="str">
        <f>土地案例!A2</f>
        <v>北京市怀柔区怀北、雁栖镇HR00-0211-6031地块〔城市客厅B地块(北侧地块)〕F3其他类多功能用地(怀柔科学城核心区及周边土地一级开发项目)</v>
      </c>
      <c r="F5" s="3774"/>
      <c r="G5" s="3766" t="str">
        <f>土地案例!A3</f>
        <v>北京市怀柔区北房镇、怀北镇HR00-0211-6027、6028、6029、6030地块(城市客厅C地块)F3其他类多功能用地(怀柔科学城核心区及周边土地一级开发项目)</v>
      </c>
      <c r="H5" s="3767"/>
      <c r="I5" s="3766" t="str">
        <f>土地案例!A5</f>
        <v>北京市怀柔科学城核心区及周边土地一级开发项目HR00-0211-6002、6009、6010、6011、6019地块(城市客厅A)F3其他类多功能用地</v>
      </c>
      <c r="J5" s="3767"/>
      <c r="K5" s="559"/>
      <c r="L5" s="2713"/>
      <c r="M5" s="2714"/>
      <c r="N5" s="2714"/>
      <c r="O5" s="2714"/>
      <c r="P5" s="3753"/>
      <c r="Q5" s="3754"/>
      <c r="R5" s="3759"/>
      <c r="S5" s="3760"/>
      <c r="T5" s="3759"/>
      <c r="U5" s="3760"/>
      <c r="V5" s="3763"/>
      <c r="W5" s="3763"/>
      <c r="X5" s="1354"/>
      <c r="Y5" s="3759"/>
      <c r="Z5" s="3760"/>
      <c r="AA5" s="3745"/>
      <c r="AB5" s="3745"/>
      <c r="AC5" s="3745"/>
    </row>
    <row r="6" spans="1:30" ht="36" customHeight="1" thickBot="1">
      <c r="A6" s="360"/>
      <c r="B6" s="361"/>
      <c r="C6" s="3764" t="s">
        <v>1674</v>
      </c>
      <c r="D6" s="3765"/>
      <c r="E6" s="3771" t="s">
        <v>1674</v>
      </c>
      <c r="F6" s="3772"/>
      <c r="G6" s="3764" t="s">
        <v>1674</v>
      </c>
      <c r="H6" s="3765"/>
      <c r="I6" s="3764" t="s">
        <v>1674</v>
      </c>
      <c r="J6" s="3765"/>
      <c r="K6" s="559" t="s">
        <v>1675</v>
      </c>
      <c r="L6" s="2713"/>
      <c r="M6" s="2714"/>
      <c r="N6" s="2714"/>
      <c r="O6" s="2714"/>
      <c r="P6" s="3755"/>
      <c r="Q6" s="3756"/>
      <c r="R6" s="3759"/>
      <c r="S6" s="3760"/>
      <c r="T6" s="3761"/>
      <c r="U6" s="3762"/>
      <c r="V6" s="3763"/>
      <c r="W6" s="3763"/>
      <c r="X6" s="1354"/>
      <c r="Y6" s="3761"/>
      <c r="Z6" s="3762"/>
      <c r="AA6" s="3746"/>
      <c r="AB6" s="3746"/>
      <c r="AC6" s="3746"/>
    </row>
    <row r="7" spans="1:30" s="108" customFormat="1" ht="15.75" thickBot="1">
      <c r="A7" s="362" t="s">
        <v>1676</v>
      </c>
      <c r="B7" s="363"/>
      <c r="C7" s="364">
        <f>'数据-取费表'!B2</f>
        <v>45372</v>
      </c>
      <c r="D7" s="365">
        <v>100</v>
      </c>
      <c r="E7" s="366">
        <f>土地案例!AE2</f>
        <v>44580.000497685185</v>
      </c>
      <c r="F7" s="367">
        <f>SUMIF(69:69,YEAR(E7)&amp;"-"&amp;INT((MONTH(E7)+2)/3),70:70)</f>
        <v>98</v>
      </c>
      <c r="G7" s="1973">
        <f>土地案例!AE3</f>
        <v>44580.000497685185</v>
      </c>
      <c r="H7" s="365">
        <f>SUMIF(69:69,YEAR(G7)&amp;"-"&amp;INT((MONTH(G7)+2)/3),70:70)</f>
        <v>98</v>
      </c>
      <c r="I7" s="1973">
        <f>土地案例!AE5</f>
        <v>44138.000497685185</v>
      </c>
      <c r="J7" s="365">
        <f>SUMIF(69:69,YEAR(I7)&amp;"-"&amp;INT((MONTH(I7)+2)/3),70:70)</f>
        <v>97</v>
      </c>
      <c r="K7" s="560"/>
      <c r="L7" s="2715"/>
      <c r="M7" s="2716"/>
      <c r="N7" s="2716"/>
      <c r="O7" s="2716"/>
      <c r="P7" s="3768" t="s">
        <v>1677</v>
      </c>
      <c r="Q7" s="3770"/>
      <c r="R7" s="701" t="s">
        <v>14</v>
      </c>
      <c r="S7" s="702">
        <f t="shared" ref="S7:S15" si="0">F7</f>
        <v>98</v>
      </c>
      <c r="T7" s="701" t="s">
        <v>14</v>
      </c>
      <c r="U7" s="702">
        <f t="shared" ref="U7:U15" si="1">H7</f>
        <v>98</v>
      </c>
      <c r="V7" s="701" t="s">
        <v>14</v>
      </c>
      <c r="W7" s="702">
        <f t="shared" ref="W7:W15" si="2">J7</f>
        <v>97</v>
      </c>
      <c r="X7" s="703"/>
      <c r="Y7" s="3768" t="s">
        <v>1677</v>
      </c>
      <c r="Z7" s="3769"/>
      <c r="AA7" s="704">
        <f>D7/F7</f>
        <v>1.0204081632653061</v>
      </c>
      <c r="AB7" s="704">
        <f>D7/H7</f>
        <v>1.0204081632653061</v>
      </c>
      <c r="AC7" s="704">
        <f>D7/J7</f>
        <v>1.0309278350515463</v>
      </c>
    </row>
    <row r="8" spans="1:30" s="108" customFormat="1" ht="15.75" thickBot="1">
      <c r="A8" s="362" t="s">
        <v>1678</v>
      </c>
      <c r="B8" s="363"/>
      <c r="C8" s="368" t="s">
        <v>1679</v>
      </c>
      <c r="D8" s="365">
        <v>100</v>
      </c>
      <c r="E8" s="368" t="s">
        <v>3616</v>
      </c>
      <c r="F8" s="367">
        <f>SUMIF(72:72,E8,73:73)-SUMIF(72:72,C8,73:73)+100</f>
        <v>100</v>
      </c>
      <c r="G8" s="368" t="s">
        <v>3616</v>
      </c>
      <c r="H8" s="365">
        <f>SUMIF(72:72,G8,73:73)-SUMIF(72:72,C8,73:73)+100</f>
        <v>100</v>
      </c>
      <c r="I8" s="368" t="s">
        <v>3616</v>
      </c>
      <c r="J8" s="365">
        <f>SUMIF(72:72,I8,73:73)-SUMIF(72:72,C8,73:73)+100</f>
        <v>100</v>
      </c>
      <c r="K8" s="560"/>
      <c r="L8" s="2715"/>
      <c r="M8" s="2716"/>
      <c r="N8" s="2716"/>
      <c r="O8" s="2716"/>
      <c r="P8" s="3768" t="s">
        <v>1680</v>
      </c>
      <c r="Q8" s="3769"/>
      <c r="R8" s="701" t="s">
        <v>14</v>
      </c>
      <c r="S8" s="702">
        <f t="shared" si="0"/>
        <v>100</v>
      </c>
      <c r="T8" s="701" t="s">
        <v>14</v>
      </c>
      <c r="U8" s="702">
        <f t="shared" si="1"/>
        <v>100</v>
      </c>
      <c r="V8" s="701" t="s">
        <v>14</v>
      </c>
      <c r="W8" s="702">
        <f t="shared" si="2"/>
        <v>100</v>
      </c>
      <c r="X8" s="703"/>
      <c r="Y8" s="3768" t="s">
        <v>1680</v>
      </c>
      <c r="Z8" s="3769"/>
      <c r="AA8" s="704">
        <f t="shared" ref="AA8:AA45" si="3">D8/F8</f>
        <v>1</v>
      </c>
      <c r="AB8" s="704">
        <f t="shared" ref="AB8:AB45" si="4">D8/H8</f>
        <v>1</v>
      </c>
      <c r="AC8" s="704">
        <f t="shared" ref="AC8:AC45" si="5">D8/J8</f>
        <v>1</v>
      </c>
    </row>
    <row r="9" spans="1:30" s="108" customFormat="1" ht="15">
      <c r="A9" s="369" t="s">
        <v>1681</v>
      </c>
      <c r="B9" s="63" t="s">
        <v>1682</v>
      </c>
      <c r="C9" s="1976" t="s">
        <v>3390</v>
      </c>
      <c r="D9" s="126">
        <v>100</v>
      </c>
      <c r="E9" s="1976" t="s">
        <v>3617</v>
      </c>
      <c r="F9" s="126">
        <f>SUMIF(74:74,E9,75:75)-SUMIF(74:74,C9,75:75)+100</f>
        <v>110</v>
      </c>
      <c r="G9" s="1976" t="s">
        <v>3617</v>
      </c>
      <c r="H9" s="126">
        <f>SUMIF(74:74,G9,75:75)-SUMIF(74:74,C9,75:75)+100</f>
        <v>110</v>
      </c>
      <c r="I9" s="1976" t="s">
        <v>3617</v>
      </c>
      <c r="J9" s="126">
        <f>SUMIF(74:74,I9,75:75)-SUMIF(74:74,C9,75:75)+100</f>
        <v>110</v>
      </c>
      <c r="K9" s="560"/>
      <c r="L9" s="2715"/>
      <c r="M9" s="2716"/>
      <c r="N9" s="2716"/>
      <c r="O9" s="2770"/>
      <c r="P9" s="3732" t="s">
        <v>1683</v>
      </c>
      <c r="Q9" s="1342" t="str">
        <f t="shared" ref="Q9:Q15" si="6">B9</f>
        <v>用途</v>
      </c>
      <c r="R9" s="701" t="s">
        <v>14</v>
      </c>
      <c r="S9" s="702">
        <f t="shared" si="0"/>
        <v>110</v>
      </c>
      <c r="T9" s="701" t="s">
        <v>14</v>
      </c>
      <c r="U9" s="702">
        <f t="shared" si="1"/>
        <v>110</v>
      </c>
      <c r="V9" s="701" t="s">
        <v>14</v>
      </c>
      <c r="W9" s="702">
        <f t="shared" si="2"/>
        <v>110</v>
      </c>
      <c r="X9" s="703"/>
      <c r="Y9" s="3607" t="s">
        <v>1684</v>
      </c>
      <c r="Z9" s="52" t="str">
        <f t="shared" ref="Z9:Z15" si="7">Q9</f>
        <v>用途</v>
      </c>
      <c r="AA9" s="704">
        <f t="shared" si="3"/>
        <v>0.90909090909090906</v>
      </c>
      <c r="AB9" s="704">
        <f t="shared" si="4"/>
        <v>0.90909090909090906</v>
      </c>
      <c r="AC9" s="704">
        <f t="shared" si="5"/>
        <v>0.90909090909090906</v>
      </c>
    </row>
    <row r="10" spans="1:30" s="378" customFormat="1" ht="27">
      <c r="A10" s="374"/>
      <c r="B10" s="375" t="s">
        <v>1685</v>
      </c>
      <c r="C10" s="383"/>
      <c r="D10" s="127">
        <v>100</v>
      </c>
      <c r="E10" s="416"/>
      <c r="F10" s="127">
        <f>ROUND(100/'数据-取费表'!G16,0)</f>
        <v>125</v>
      </c>
      <c r="G10" s="414"/>
      <c r="H10" s="127">
        <f>ROUND(100/'数据-取费表'!G16,0)</f>
        <v>125</v>
      </c>
      <c r="I10" s="414"/>
      <c r="J10" s="127">
        <f>ROUND(100/'数据-取费表'!G16,0)</f>
        <v>125</v>
      </c>
      <c r="K10" s="620"/>
      <c r="L10" s="2717"/>
      <c r="M10" s="2718"/>
      <c r="N10" s="2718"/>
      <c r="O10" s="2771"/>
      <c r="P10" s="3732"/>
      <c r="Q10" s="1342"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30" ht="15">
      <c r="A11" s="379"/>
      <c r="B11" s="375" t="s">
        <v>1686</v>
      </c>
      <c r="C11" s="380">
        <f>'数据-汇总表'!I6</f>
        <v>1.74</v>
      </c>
      <c r="D11" s="127">
        <v>100</v>
      </c>
      <c r="E11" s="380">
        <v>2</v>
      </c>
      <c r="F11" s="127">
        <f>LOOKUP(E11,79:79,80:80)-LOOKUP(C11,79:79,80:80)+100</f>
        <v>98</v>
      </c>
      <c r="G11" s="381">
        <v>1.82</v>
      </c>
      <c r="H11" s="127">
        <f>LOOKUP(G11,79:79,80:80)-LOOKUP(C11,79:79,80:80)+100</f>
        <v>100</v>
      </c>
      <c r="I11" s="380">
        <v>1.9</v>
      </c>
      <c r="J11" s="127">
        <f>LOOKUP(I11,79:79,80:80)-LOOKUP(C11,79:79,80:80)+100</f>
        <v>100</v>
      </c>
      <c r="K11" s="621">
        <v>2</v>
      </c>
      <c r="L11" s="2719"/>
      <c r="M11" s="2714"/>
      <c r="N11" s="2714"/>
      <c r="O11" s="2772"/>
      <c r="P11" s="3732"/>
      <c r="Q11" s="1342" t="str">
        <f t="shared" si="6"/>
        <v>容积率</v>
      </c>
      <c r="R11" s="701" t="s">
        <v>14</v>
      </c>
      <c r="S11" s="702">
        <f t="shared" si="0"/>
        <v>98</v>
      </c>
      <c r="T11" s="701" t="s">
        <v>14</v>
      </c>
      <c r="U11" s="702">
        <f t="shared" si="1"/>
        <v>100</v>
      </c>
      <c r="V11" s="701" t="s">
        <v>14</v>
      </c>
      <c r="W11" s="702">
        <f t="shared" si="2"/>
        <v>100</v>
      </c>
      <c r="X11" s="703"/>
      <c r="Y11" s="3607"/>
      <c r="Z11" s="52" t="str">
        <f t="shared" si="7"/>
        <v>容积率</v>
      </c>
      <c r="AA11" s="704">
        <f t="shared" si="3"/>
        <v>1.0204081632653061</v>
      </c>
      <c r="AB11" s="704">
        <f t="shared" si="4"/>
        <v>1</v>
      </c>
      <c r="AC11" s="704">
        <f t="shared" si="5"/>
        <v>1</v>
      </c>
    </row>
    <row r="12" spans="1:30" s="108" customFormat="1" ht="15">
      <c r="A12" s="382"/>
      <c r="B12" s="1892" t="s">
        <v>1867</v>
      </c>
      <c r="C12" s="3461" t="s">
        <v>3618</v>
      </c>
      <c r="D12" s="384">
        <v>100</v>
      </c>
      <c r="E12" s="3461" t="s">
        <v>3619</v>
      </c>
      <c r="F12" s="127">
        <f>SUMIF(81:81,E12,82:82)-SUMIF(81:81,C12,82:82)+100</f>
        <v>100</v>
      </c>
      <c r="G12" s="3461" t="s">
        <v>3620</v>
      </c>
      <c r="H12" s="127">
        <f>SUMIF(81:81,G12,82:82)-SUMIF(81:81,C12,82:82)+100</f>
        <v>100</v>
      </c>
      <c r="I12" s="416" t="s">
        <v>3621</v>
      </c>
      <c r="J12" s="127">
        <f>SUMIF(81:81,I12,82:82)-SUMIF(81:81,C12,82:82)+100</f>
        <v>90</v>
      </c>
      <c r="K12" s="620"/>
      <c r="L12" s="2715"/>
      <c r="M12" s="2716"/>
      <c r="N12" s="2716"/>
      <c r="O12" s="2770"/>
      <c r="P12" s="3732"/>
      <c r="Q12" s="1342" t="str">
        <f t="shared" si="6"/>
        <v>配建</v>
      </c>
      <c r="R12" s="701" t="s">
        <v>14</v>
      </c>
      <c r="S12" s="702">
        <f t="shared" si="0"/>
        <v>100</v>
      </c>
      <c r="T12" s="701" t="s">
        <v>14</v>
      </c>
      <c r="U12" s="702">
        <f t="shared" si="1"/>
        <v>100</v>
      </c>
      <c r="V12" s="701" t="s">
        <v>14</v>
      </c>
      <c r="W12" s="702">
        <f t="shared" si="2"/>
        <v>90</v>
      </c>
      <c r="X12" s="703"/>
      <c r="Y12" s="3607"/>
      <c r="Z12" s="52" t="str">
        <f t="shared" si="7"/>
        <v>配建</v>
      </c>
      <c r="AA12" s="704">
        <f>D12/F12</f>
        <v>1</v>
      </c>
      <c r="AB12" s="704">
        <f>D12/H12</f>
        <v>1</v>
      </c>
      <c r="AC12" s="704">
        <f>D12/J12</f>
        <v>1.1111111111111112</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2"/>
      <c r="Q13" s="1342">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2"/>
      <c r="Q14" s="1342">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99.75">
      <c r="A15" s="391" t="s">
        <v>1687</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4" t="s">
        <v>1688</v>
      </c>
      <c r="Q15" s="1351" t="str">
        <f t="shared" si="6"/>
        <v>居住社区成熟度</v>
      </c>
      <c r="R15" s="705" t="s">
        <v>14</v>
      </c>
      <c r="S15" s="706">
        <f t="shared" si="0"/>
        <v>100</v>
      </c>
      <c r="T15" s="705" t="s">
        <v>14</v>
      </c>
      <c r="U15" s="706">
        <f t="shared" si="1"/>
        <v>100</v>
      </c>
      <c r="V15" s="705" t="s">
        <v>14</v>
      </c>
      <c r="W15" s="706">
        <f t="shared" si="2"/>
        <v>100</v>
      </c>
      <c r="X15" s="1354"/>
      <c r="Y15" s="3734"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35"/>
      <c r="Q16" s="1351"/>
      <c r="R16" s="705"/>
      <c r="S16" s="706"/>
      <c r="T16" s="705"/>
      <c r="U16" s="706"/>
      <c r="V16" s="705"/>
      <c r="W16" s="706"/>
      <c r="X16" s="1354"/>
      <c r="Y16" s="3735"/>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5"/>
      <c r="Q17" s="1351" t="str">
        <f>B17</f>
        <v>商业繁华度</v>
      </c>
      <c r="R17" s="705" t="s">
        <v>14</v>
      </c>
      <c r="S17" s="706">
        <f>F17</f>
        <v>100</v>
      </c>
      <c r="T17" s="705" t="s">
        <v>14</v>
      </c>
      <c r="U17" s="706">
        <f>H17</f>
        <v>100</v>
      </c>
      <c r="V17" s="705" t="s">
        <v>14</v>
      </c>
      <c r="W17" s="706">
        <f>J17</f>
        <v>100</v>
      </c>
      <c r="X17" s="1354"/>
      <c r="Y17" s="373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35"/>
      <c r="Q18" s="1351"/>
      <c r="R18" s="705"/>
      <c r="S18" s="706"/>
      <c r="T18" s="705"/>
      <c r="U18" s="706"/>
      <c r="V18" s="705"/>
      <c r="W18" s="706"/>
      <c r="X18" s="1354"/>
      <c r="Y18" s="3735"/>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5"/>
      <c r="Q19" s="1351" t="str">
        <f>B19</f>
        <v>办公集聚程度</v>
      </c>
      <c r="R19" s="705" t="s">
        <v>14</v>
      </c>
      <c r="S19" s="706">
        <f>F19</f>
        <v>100</v>
      </c>
      <c r="T19" s="705" t="s">
        <v>14</v>
      </c>
      <c r="U19" s="706">
        <f>H19</f>
        <v>100</v>
      </c>
      <c r="V19" s="705" t="s">
        <v>14</v>
      </c>
      <c r="W19" s="706">
        <f>J19</f>
        <v>100</v>
      </c>
      <c r="X19" s="1354"/>
      <c r="Y19" s="373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35"/>
      <c r="Q20" s="1351"/>
      <c r="R20" s="705"/>
      <c r="S20" s="706"/>
      <c r="T20" s="705"/>
      <c r="U20" s="706"/>
      <c r="V20" s="705"/>
      <c r="W20" s="706"/>
      <c r="X20" s="1354"/>
      <c r="Y20" s="3735"/>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5"/>
      <c r="Q21" s="1351" t="str">
        <f>B21</f>
        <v>交通便捷度</v>
      </c>
      <c r="R21" s="705" t="s">
        <v>14</v>
      </c>
      <c r="S21" s="706">
        <f>F21</f>
        <v>100</v>
      </c>
      <c r="T21" s="705" t="s">
        <v>14</v>
      </c>
      <c r="U21" s="706">
        <f>H21</f>
        <v>100</v>
      </c>
      <c r="V21" s="705" t="s">
        <v>14</v>
      </c>
      <c r="W21" s="706">
        <f>J21</f>
        <v>100</v>
      </c>
      <c r="X21" s="1354"/>
      <c r="Y21" s="373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35"/>
      <c r="Q22" s="1351"/>
      <c r="R22" s="705"/>
      <c r="S22" s="706"/>
      <c r="T22" s="705"/>
      <c r="U22" s="706"/>
      <c r="V22" s="705"/>
      <c r="W22" s="706"/>
      <c r="X22" s="1354"/>
      <c r="Y22" s="3735"/>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5"/>
      <c r="Q23" s="1351" t="str">
        <f t="shared" ref="Q23:Q37" si="8">B23</f>
        <v>区域土地利用方向</v>
      </c>
      <c r="R23" s="705" t="s">
        <v>14</v>
      </c>
      <c r="S23" s="706">
        <f>F23</f>
        <v>100</v>
      </c>
      <c r="T23" s="705" t="s">
        <v>14</v>
      </c>
      <c r="U23" s="706">
        <f>H23</f>
        <v>100</v>
      </c>
      <c r="V23" s="705" t="s">
        <v>14</v>
      </c>
      <c r="W23" s="706">
        <f>J23</f>
        <v>100</v>
      </c>
      <c r="X23" s="1354"/>
      <c r="Y23" s="373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35"/>
      <c r="Q24" s="1351"/>
      <c r="R24" s="705"/>
      <c r="S24" s="706"/>
      <c r="T24" s="705"/>
      <c r="U24" s="706"/>
      <c r="V24" s="705"/>
      <c r="W24" s="706"/>
      <c r="X24" s="1354"/>
      <c r="Y24" s="3735"/>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5"/>
      <c r="Q25" s="1351" t="str">
        <f t="shared" si="8"/>
        <v>自然及人文环境状况</v>
      </c>
      <c r="R25" s="705" t="s">
        <v>14</v>
      </c>
      <c r="S25" s="706">
        <f>F25</f>
        <v>100</v>
      </c>
      <c r="T25" s="705" t="s">
        <v>14</v>
      </c>
      <c r="U25" s="706">
        <f>H25</f>
        <v>100</v>
      </c>
      <c r="V25" s="705" t="s">
        <v>14</v>
      </c>
      <c r="W25" s="706">
        <f>J25</f>
        <v>100</v>
      </c>
      <c r="X25" s="1354"/>
      <c r="Y25" s="373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35"/>
      <c r="Q26" s="1351"/>
      <c r="R26" s="705"/>
      <c r="S26" s="706"/>
      <c r="T26" s="705"/>
      <c r="U26" s="706"/>
      <c r="V26" s="705"/>
      <c r="W26" s="706"/>
      <c r="X26" s="1354"/>
      <c r="Y26" s="3735"/>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5"/>
      <c r="Q27" s="1342" t="str">
        <f t="shared" si="8"/>
        <v>公共配套设施</v>
      </c>
      <c r="R27" s="701" t="s">
        <v>14</v>
      </c>
      <c r="S27" s="702">
        <f>F27</f>
        <v>100</v>
      </c>
      <c r="T27" s="701" t="s">
        <v>14</v>
      </c>
      <c r="U27" s="702">
        <f>H27</f>
        <v>100</v>
      </c>
      <c r="V27" s="701" t="s">
        <v>14</v>
      </c>
      <c r="W27" s="702">
        <f>J27</f>
        <v>100</v>
      </c>
      <c r="X27" s="703"/>
      <c r="Y27" s="373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35"/>
      <c r="Q28" s="1342"/>
      <c r="R28" s="701"/>
      <c r="S28" s="702"/>
      <c r="T28" s="701"/>
      <c r="U28" s="702"/>
      <c r="V28" s="701"/>
      <c r="W28" s="702"/>
      <c r="X28" s="703"/>
      <c r="Y28" s="3735"/>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5"/>
      <c r="Q29" s="1342"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35"/>
      <c r="Q30" s="1342"/>
      <c r="R30" s="701"/>
      <c r="S30" s="702"/>
      <c r="T30" s="701"/>
      <c r="U30" s="702"/>
      <c r="V30" s="701"/>
      <c r="W30" s="702"/>
      <c r="X30" s="703"/>
      <c r="Y30" s="3735"/>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5"/>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5"/>
      <c r="Q32" s="1351" t="str">
        <f t="shared" si="8"/>
        <v>毗邻道路的类型与等级</v>
      </c>
      <c r="R32" s="705" t="s">
        <v>14</v>
      </c>
      <c r="S32" s="706">
        <f t="shared" si="10"/>
        <v>100</v>
      </c>
      <c r="T32" s="705" t="s">
        <v>14</v>
      </c>
      <c r="U32" s="706">
        <f t="shared" si="11"/>
        <v>100</v>
      </c>
      <c r="V32" s="705" t="s">
        <v>14</v>
      </c>
      <c r="W32" s="706">
        <f t="shared" si="12"/>
        <v>100</v>
      </c>
      <c r="X32" s="1354"/>
      <c r="Y32" s="373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35"/>
      <c r="Q33" s="1351"/>
      <c r="R33" s="705"/>
      <c r="S33" s="706"/>
      <c r="T33" s="705"/>
      <c r="U33" s="706"/>
      <c r="V33" s="705"/>
      <c r="W33" s="706"/>
      <c r="X33" s="1354"/>
      <c r="Y33" s="3735"/>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5"/>
      <c r="Q34" s="1351" t="str">
        <f t="shared" si="8"/>
        <v>土地级别</v>
      </c>
      <c r="R34" s="705" t="s">
        <v>14</v>
      </c>
      <c r="S34" s="706">
        <f t="shared" si="10"/>
        <v>100</v>
      </c>
      <c r="T34" s="705" t="s">
        <v>14</v>
      </c>
      <c r="U34" s="706">
        <f t="shared" si="11"/>
        <v>100</v>
      </c>
      <c r="V34" s="705" t="s">
        <v>14</v>
      </c>
      <c r="W34" s="706">
        <f t="shared" si="12"/>
        <v>100</v>
      </c>
      <c r="X34" s="1354"/>
      <c r="Y34" s="373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5"/>
      <c r="Q35" s="1351">
        <f t="shared" si="8"/>
        <v>111</v>
      </c>
      <c r="R35" s="705" t="s">
        <v>14</v>
      </c>
      <c r="S35" s="706">
        <f t="shared" si="10"/>
        <v>100</v>
      </c>
      <c r="T35" s="705" t="s">
        <v>14</v>
      </c>
      <c r="U35" s="706">
        <f t="shared" si="11"/>
        <v>100</v>
      </c>
      <c r="V35" s="705" t="s">
        <v>14</v>
      </c>
      <c r="W35" s="706">
        <f t="shared" si="12"/>
        <v>100</v>
      </c>
      <c r="X35" s="1354"/>
      <c r="Y35" s="373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92" t="s">
        <v>1693</v>
      </c>
      <c r="Q36" s="1351">
        <f t="shared" si="8"/>
        <v>111</v>
      </c>
      <c r="R36" s="705" t="s">
        <v>14</v>
      </c>
      <c r="S36" s="706">
        <f t="shared" si="10"/>
        <v>100</v>
      </c>
      <c r="T36" s="705" t="s">
        <v>14</v>
      </c>
      <c r="U36" s="706">
        <f t="shared" si="11"/>
        <v>100</v>
      </c>
      <c r="V36" s="705" t="s">
        <v>14</v>
      </c>
      <c r="W36" s="706">
        <f t="shared" si="12"/>
        <v>100</v>
      </c>
      <c r="X36" s="1354"/>
      <c r="Y36" s="3739"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9"/>
      <c r="Q37" s="1351">
        <f t="shared" si="8"/>
        <v>111</v>
      </c>
      <c r="R37" s="708" t="s">
        <v>14</v>
      </c>
      <c r="S37" s="709">
        <f t="shared" si="10"/>
        <v>100</v>
      </c>
      <c r="T37" s="708" t="s">
        <v>14</v>
      </c>
      <c r="U37" s="709">
        <f t="shared" si="11"/>
        <v>100</v>
      </c>
      <c r="V37" s="708" t="s">
        <v>14</v>
      </c>
      <c r="W37" s="709">
        <f t="shared" si="12"/>
        <v>100</v>
      </c>
      <c r="X37" s="710"/>
      <c r="Y37" s="3739"/>
      <c r="Z37" s="711">
        <f t="shared" si="13"/>
        <v>111</v>
      </c>
      <c r="AA37" s="1352">
        <f t="shared" si="3"/>
        <v>1</v>
      </c>
      <c r="AB37" s="1352">
        <f t="shared" si="4"/>
        <v>1</v>
      </c>
      <c r="AC37" s="1352">
        <f t="shared" si="5"/>
        <v>1</v>
      </c>
    </row>
    <row r="38" spans="1:29" ht="15">
      <c r="A38" s="423" t="s">
        <v>1691</v>
      </c>
      <c r="B38" s="407" t="s">
        <v>1871</v>
      </c>
      <c r="C38" s="627">
        <f>'数据-汇总表'!D3</f>
        <v>17362.38</v>
      </c>
      <c r="D38" s="418">
        <v>100</v>
      </c>
      <c r="E38" s="627">
        <f>土地案例!I2</f>
        <v>19258.580000000002</v>
      </c>
      <c r="F38" s="418">
        <f>LOOKUP(E38,116:116,117:117)-LOOKUP(C38,116:116,117:117)+100</f>
        <v>100</v>
      </c>
      <c r="G38" s="627">
        <f>土地案例!I3</f>
        <v>28547.88</v>
      </c>
      <c r="H38" s="418">
        <f>LOOKUP(G38,116:116,117:117)-LOOKUP(C38,116:116,117:117)+100</f>
        <v>100</v>
      </c>
      <c r="I38" s="479">
        <f>土地案例!I5</f>
        <v>63225.37</v>
      </c>
      <c r="J38" s="418">
        <f>LOOKUP(I38,116:116,117:117)-LOOKUP(C38,116:116,117:117)+100</f>
        <v>101</v>
      </c>
      <c r="K38" s="562"/>
      <c r="L38" s="2720"/>
      <c r="M38" s="2714"/>
      <c r="N38" s="2714"/>
      <c r="O38" s="2772"/>
      <c r="P38" s="3739"/>
      <c r="Q38" s="1351" t="str">
        <f>B38</f>
        <v>宗地面积</v>
      </c>
      <c r="R38" s="705" t="s">
        <v>14</v>
      </c>
      <c r="S38" s="706">
        <f t="shared" si="10"/>
        <v>100</v>
      </c>
      <c r="T38" s="705" t="s">
        <v>14</v>
      </c>
      <c r="U38" s="706">
        <f t="shared" si="11"/>
        <v>100</v>
      </c>
      <c r="V38" s="705" t="s">
        <v>14</v>
      </c>
      <c r="W38" s="706">
        <f t="shared" si="12"/>
        <v>101</v>
      </c>
      <c r="X38" s="1354"/>
      <c r="Y38" s="3739"/>
      <c r="Z38" s="1355" t="str">
        <f t="shared" si="13"/>
        <v>宗地面积</v>
      </c>
      <c r="AA38" s="1352">
        <f t="shared" si="3"/>
        <v>1</v>
      </c>
      <c r="AB38" s="1352">
        <f t="shared" si="4"/>
        <v>1</v>
      </c>
      <c r="AC38" s="1352">
        <f t="shared" si="5"/>
        <v>0.99009900990099009</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9"/>
      <c r="Q39" s="1351" t="str">
        <f t="shared" ref="Q39:Q45" si="14">B39</f>
        <v>宗地形状</v>
      </c>
      <c r="R39" s="705" t="s">
        <v>14</v>
      </c>
      <c r="S39" s="706">
        <f t="shared" si="10"/>
        <v>100</v>
      </c>
      <c r="T39" s="705" t="s">
        <v>14</v>
      </c>
      <c r="U39" s="706">
        <f t="shared" si="11"/>
        <v>100</v>
      </c>
      <c r="V39" s="705" t="s">
        <v>14</v>
      </c>
      <c r="W39" s="706">
        <f t="shared" si="12"/>
        <v>100</v>
      </c>
      <c r="X39" s="1354"/>
      <c r="Y39" s="3739"/>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9"/>
      <c r="Q40" s="1351" t="str">
        <f t="shared" si="14"/>
        <v>临街宽度及深度</v>
      </c>
      <c r="R40" s="705" t="s">
        <v>14</v>
      </c>
      <c r="S40" s="706">
        <f t="shared" si="10"/>
        <v>100</v>
      </c>
      <c r="T40" s="705" t="s">
        <v>14</v>
      </c>
      <c r="U40" s="706">
        <f t="shared" si="11"/>
        <v>100</v>
      </c>
      <c r="V40" s="705" t="s">
        <v>14</v>
      </c>
      <c r="W40" s="706">
        <f t="shared" si="12"/>
        <v>100</v>
      </c>
      <c r="X40" s="1354"/>
      <c r="Y40" s="3739"/>
      <c r="Z40" s="1355" t="str">
        <f t="shared" si="13"/>
        <v>临街宽度及深度</v>
      </c>
      <c r="AA40" s="1352">
        <f t="shared" si="3"/>
        <v>1</v>
      </c>
      <c r="AB40" s="1352">
        <f t="shared" si="4"/>
        <v>1</v>
      </c>
      <c r="AC40" s="1352">
        <f t="shared" si="5"/>
        <v>1</v>
      </c>
    </row>
    <row r="41" spans="1:29" s="108" customFormat="1" ht="15">
      <c r="A41" s="424"/>
      <c r="B41" s="375" t="s">
        <v>1874</v>
      </c>
      <c r="C41" s="1979" t="s">
        <v>3607</v>
      </c>
      <c r="D41" s="127">
        <v>100</v>
      </c>
      <c r="E41" s="1979" t="s">
        <v>3609</v>
      </c>
      <c r="F41" s="386">
        <f>SUMIF(122:122,E41,123:123)-SUMIF(122:122,C41,123:123)+100</f>
        <v>100</v>
      </c>
      <c r="G41" s="1979" t="s">
        <v>3609</v>
      </c>
      <c r="H41" s="386">
        <f>SUMIF(122:122,G41,123:123)-SUMIF(122:122,C41,123:123)+100</f>
        <v>100</v>
      </c>
      <c r="I41" s="1979" t="s">
        <v>3609</v>
      </c>
      <c r="J41" s="386">
        <f>SUMIF(122:122,I41,123:123)-SUMIF(122:122,C41,123:123)+100</f>
        <v>100</v>
      </c>
      <c r="K41" s="561"/>
      <c r="L41" s="2715"/>
      <c r="M41" s="2716"/>
      <c r="N41" s="2716"/>
      <c r="O41" s="2770"/>
      <c r="P41" s="3739"/>
      <c r="Q41" s="1351" t="str">
        <f t="shared" si="14"/>
        <v>宗地开发程度</v>
      </c>
      <c r="R41" s="701" t="s">
        <v>14</v>
      </c>
      <c r="S41" s="702">
        <f t="shared" si="10"/>
        <v>100</v>
      </c>
      <c r="T41" s="701" t="s">
        <v>14</v>
      </c>
      <c r="U41" s="702">
        <f t="shared" si="11"/>
        <v>100</v>
      </c>
      <c r="V41" s="701" t="s">
        <v>14</v>
      </c>
      <c r="W41" s="702">
        <f t="shared" si="12"/>
        <v>100</v>
      </c>
      <c r="X41" s="703"/>
      <c r="Y41" s="3739"/>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9" t="s">
        <v>1693</v>
      </c>
      <c r="Q42" s="1351" t="str">
        <f t="shared" si="14"/>
        <v>工程地质条件</v>
      </c>
      <c r="R42" s="705" t="s">
        <v>14</v>
      </c>
      <c r="S42" s="706">
        <f t="shared" si="10"/>
        <v>100</v>
      </c>
      <c r="T42" s="705" t="s">
        <v>14</v>
      </c>
      <c r="U42" s="706">
        <f t="shared" si="11"/>
        <v>100</v>
      </c>
      <c r="V42" s="705" t="s">
        <v>14</v>
      </c>
      <c r="W42" s="706">
        <f t="shared" si="12"/>
        <v>100</v>
      </c>
      <c r="X42" s="1354"/>
      <c r="Y42" s="3739"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9"/>
      <c r="Q43" s="1351">
        <f t="shared" si="14"/>
        <v>111</v>
      </c>
      <c r="R43" s="705" t="s">
        <v>14</v>
      </c>
      <c r="S43" s="706">
        <f t="shared" si="10"/>
        <v>100</v>
      </c>
      <c r="T43" s="705" t="s">
        <v>14</v>
      </c>
      <c r="U43" s="706">
        <f t="shared" si="11"/>
        <v>100</v>
      </c>
      <c r="V43" s="705" t="s">
        <v>14</v>
      </c>
      <c r="W43" s="706">
        <f t="shared" si="12"/>
        <v>100</v>
      </c>
      <c r="X43" s="1354"/>
      <c r="Y43" s="373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9"/>
      <c r="Q44" s="1351">
        <f t="shared" si="14"/>
        <v>111</v>
      </c>
      <c r="R44" s="705" t="s">
        <v>14</v>
      </c>
      <c r="S44" s="706">
        <f t="shared" si="10"/>
        <v>100</v>
      </c>
      <c r="T44" s="705" t="s">
        <v>14</v>
      </c>
      <c r="U44" s="706">
        <f t="shared" si="11"/>
        <v>100</v>
      </c>
      <c r="V44" s="705" t="s">
        <v>14</v>
      </c>
      <c r="W44" s="706">
        <f t="shared" si="12"/>
        <v>100</v>
      </c>
      <c r="X44" s="1354"/>
      <c r="Y44" s="373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9"/>
      <c r="Q45" s="1351">
        <f t="shared" si="14"/>
        <v>111</v>
      </c>
      <c r="R45" s="708" t="s">
        <v>14</v>
      </c>
      <c r="S45" s="709">
        <f t="shared" si="10"/>
        <v>100</v>
      </c>
      <c r="T45" s="708" t="s">
        <v>14</v>
      </c>
      <c r="U45" s="709">
        <f t="shared" si="11"/>
        <v>100</v>
      </c>
      <c r="V45" s="708" t="s">
        <v>14</v>
      </c>
      <c r="W45" s="709">
        <f t="shared" si="12"/>
        <v>100</v>
      </c>
      <c r="X45" s="710"/>
      <c r="Y45" s="3739"/>
      <c r="Z45" s="711">
        <f t="shared" si="13"/>
        <v>111</v>
      </c>
      <c r="AA45" s="1352">
        <f t="shared" si="3"/>
        <v>1</v>
      </c>
      <c r="AB45" s="1352">
        <f t="shared" si="4"/>
        <v>1</v>
      </c>
      <c r="AC45" s="1352">
        <f t="shared" si="5"/>
        <v>1</v>
      </c>
    </row>
    <row r="46" spans="1:29" ht="15">
      <c r="A46" s="430" t="s">
        <v>1841</v>
      </c>
      <c r="B46" s="1981" t="s">
        <v>1876</v>
      </c>
      <c r="C46" s="630" t="s">
        <v>0</v>
      </c>
      <c r="D46" s="432"/>
      <c r="E46" s="433">
        <f>土地案例!AT2</f>
        <v>7373</v>
      </c>
      <c r="F46" s="434"/>
      <c r="G46" s="435">
        <f>土地案例!AT3</f>
        <v>7274</v>
      </c>
      <c r="H46" s="436"/>
      <c r="I46" s="433">
        <f>土地案例!AT5</f>
        <v>7329</v>
      </c>
      <c r="J46" s="436"/>
      <c r="K46" s="714"/>
      <c r="L46" s="2722"/>
      <c r="M46" s="2723"/>
      <c r="N46" s="2714"/>
      <c r="O46" s="2723"/>
      <c r="P46" s="3732" t="str">
        <f>A46</f>
        <v>成交单价</v>
      </c>
      <c r="Q46" s="3732"/>
      <c r="R46" s="3763">
        <f>E46</f>
        <v>7373</v>
      </c>
      <c r="S46" s="3763"/>
      <c r="T46" s="3763">
        <f>G46</f>
        <v>7274</v>
      </c>
      <c r="U46" s="3763"/>
      <c r="V46" s="3763">
        <f>I46</f>
        <v>7329</v>
      </c>
      <c r="W46" s="3763"/>
      <c r="X46" s="690"/>
      <c r="Y46" s="712"/>
      <c r="Z46" s="690"/>
      <c r="AA46" s="690"/>
      <c r="AB46" s="690"/>
      <c r="AC46" s="690"/>
    </row>
    <row r="47" spans="1:29" ht="15.75" thickBot="1">
      <c r="A47" s="437" t="s">
        <v>1790</v>
      </c>
      <c r="B47" s="631"/>
      <c r="C47" s="440">
        <f>R48</f>
        <v>5675</v>
      </c>
      <c r="D47" s="2316" t="s">
        <v>2135</v>
      </c>
      <c r="E47" s="440">
        <f>R47</f>
        <v>5583</v>
      </c>
      <c r="F47" s="2317"/>
      <c r="G47" s="439">
        <f>T47</f>
        <v>5398</v>
      </c>
      <c r="H47" s="2317"/>
      <c r="I47" s="440">
        <f>V47</f>
        <v>6045</v>
      </c>
      <c r="J47" s="2317"/>
      <c r="K47" s="2319">
        <f>F47+H47+J47</f>
        <v>0</v>
      </c>
      <c r="L47" s="2722"/>
      <c r="M47" s="2723"/>
      <c r="N47" s="2723"/>
      <c r="O47" s="2723"/>
      <c r="P47" s="3732" t="str">
        <f>A47</f>
        <v>比较价值（元/平方米）</v>
      </c>
      <c r="Q47" s="3732"/>
      <c r="R47" s="3794">
        <f>ROUND(PRODUCT(R46,AA7:AA45),0)</f>
        <v>5583</v>
      </c>
      <c r="S47" s="3794"/>
      <c r="T47" s="3794">
        <f>ROUND(PRODUCT(T46,AB7:AB45),0)</f>
        <v>5398</v>
      </c>
      <c r="U47" s="3794"/>
      <c r="V47" s="3794">
        <f>ROUND(PRODUCT(V46,AC7:AC45),0)</f>
        <v>6045</v>
      </c>
      <c r="W47" s="3794"/>
      <c r="X47" s="690"/>
      <c r="Y47" s="690"/>
      <c r="Z47" s="690"/>
      <c r="AA47" s="690"/>
      <c r="AB47" s="690"/>
      <c r="AC47" s="690"/>
    </row>
    <row r="48" spans="1:29" ht="15.75" thickBot="1">
      <c r="A48" s="441" t="s">
        <v>1877</v>
      </c>
      <c r="B48" s="442"/>
      <c r="C48" s="443">
        <f>R48</f>
        <v>5675</v>
      </c>
      <c r="D48" s="443"/>
      <c r="E48" s="443"/>
      <c r="F48" s="443"/>
      <c r="G48" s="443"/>
      <c r="H48" s="443"/>
      <c r="I48" s="443"/>
      <c r="J48" s="443"/>
      <c r="K48" s="715"/>
      <c r="L48" s="2722"/>
      <c r="M48" s="2723"/>
      <c r="N48" s="2723"/>
      <c r="O48" s="2723"/>
      <c r="P48" s="3729" t="str">
        <f>A48</f>
        <v>估价对象XX用房的比较价值（楼面单价，元/平方米）</v>
      </c>
      <c r="Q48" s="3730"/>
      <c r="R48" s="3795">
        <f>ROUND(IF(D47="简单平均",AVERAGE(R47:W47),R47*F47+T47*H47+V47*J47),0)</f>
        <v>5675</v>
      </c>
      <c r="S48" s="3795"/>
      <c r="T48" s="3795"/>
      <c r="U48" s="3795"/>
      <c r="V48" s="3795"/>
      <c r="W48" s="379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1792</v>
      </c>
      <c r="D51" s="447"/>
      <c r="E51" s="448">
        <f>IF(E46&lt;E47,E47/E46-1,E46/E47-1)</f>
        <v>0.32061615618842909</v>
      </c>
      <c r="F51" s="449" t="str">
        <f>IF(OR(E51&gt;=0.3,E51&lt;=-0.3),"超过30%","")</f>
        <v>超过30%</v>
      </c>
      <c r="G51" s="448">
        <f>IF(G46&lt;G47,G47/G46-1,G46/G47-1)</f>
        <v>0.34753612449055216</v>
      </c>
      <c r="H51" s="449" t="str">
        <f>IF(OR(G51&gt;=0.3,G51&lt;=-0.3),"超过30%","")</f>
        <v>超过30%</v>
      </c>
      <c r="I51" s="448">
        <f>IF(I46&lt;I47,I47/I46-1,I46/I47-1)</f>
        <v>0.21240694789081882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1793</v>
      </c>
      <c r="D52" s="450"/>
      <c r="E52" s="448">
        <f>IF(E47&lt;G47,G47/E47-1,E47/G47-1)</f>
        <v>3.4271952575027687E-2</v>
      </c>
      <c r="F52" s="449" t="str">
        <f>IF(OR(E52&gt;=0.2,E52&lt;=-0.2),"超过20%","")</f>
        <v/>
      </c>
      <c r="G52" s="448">
        <f>IF(G47&lt;I47,I47/G47-1,G47/I47-1)</f>
        <v>0.11985920711374587</v>
      </c>
      <c r="H52" s="449" t="str">
        <f>IF(OR(G52&gt;=0.2,G52&lt;=-0.2),"超过20%","")</f>
        <v/>
      </c>
      <c r="I52" s="448">
        <f>IF(I47&lt;E47,E47/I47-1,I47/E47-1)</f>
        <v>8.2751209027404515E-2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1794</v>
      </c>
      <c r="D53" s="450"/>
      <c r="E53" s="448">
        <f>IF(E46&lt;G46,G46/E46-1,E46/G46-1)</f>
        <v>1.3610118229309798E-2</v>
      </c>
      <c r="F53" s="449" t="str">
        <f>IF(OR(E53&gt;=0.3,E53&lt;=-0.3),"超过30%","")</f>
        <v/>
      </c>
      <c r="G53" s="448">
        <f>IF(G46&lt;I46,I46/G46-1,G46/I46-1)</f>
        <v>7.5611767940610974E-3</v>
      </c>
      <c r="H53" s="449" t="str">
        <f>IF(OR(G53&gt;=0.3,G53&lt;=-0.3),"超过30%","")</f>
        <v/>
      </c>
      <c r="I53" s="448">
        <f>IF(I46&lt;E46,E46/I46-1,I46/E46-1)</f>
        <v>6.0035475508255498E-3</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1878</v>
      </c>
      <c r="B55" s="633" t="s">
        <v>1879</v>
      </c>
      <c r="C55" s="1982" t="s">
        <v>1880</v>
      </c>
      <c r="D55" s="1983" t="s">
        <v>1881</v>
      </c>
      <c r="E55" s="634" t="s">
        <v>1882</v>
      </c>
      <c r="F55" s="890" t="s">
        <v>1883</v>
      </c>
      <c r="G55" s="3747" t="s">
        <v>1884</v>
      </c>
      <c r="H55" s="3796"/>
      <c r="I55" s="135" t="s">
        <v>1885</v>
      </c>
      <c r="J55" s="1984">
        <f>项目基本情况!F35</f>
        <v>0</v>
      </c>
      <c r="K55" s="1985" t="s">
        <v>1886</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1887</v>
      </c>
      <c r="B56" s="637">
        <f>C48</f>
        <v>5675</v>
      </c>
      <c r="C56" s="638">
        <v>1</v>
      </c>
      <c r="D56" s="944">
        <v>1</v>
      </c>
      <c r="E56" s="638">
        <f>'数据-汇总表'!E8+'数据-汇总表'!E9</f>
        <v>30243.989999999998</v>
      </c>
      <c r="F56" s="886">
        <f t="shared" ref="F56:F64" si="15">ROUND(B56*E56/10000,0)</f>
        <v>17163</v>
      </c>
      <c r="G56" s="3743"/>
      <c r="H56" s="373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1888</v>
      </c>
      <c r="B57" s="218">
        <f>ROUND($C$48*C57*D57,0)</f>
        <v>709</v>
      </c>
      <c r="C57" s="171">
        <f t="shared" ref="C57:C64" si="16">IF($C$55="北京市系数",I57,J57)</f>
        <v>0.5</v>
      </c>
      <c r="D57" s="945">
        <v>0.25</v>
      </c>
      <c r="E57" s="642"/>
      <c r="F57" s="886">
        <f t="shared" si="15"/>
        <v>0</v>
      </c>
      <c r="G57" s="3004" t="s">
        <v>1889</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1890</v>
      </c>
      <c r="B58" s="218">
        <f t="shared" ref="B58:B64" si="17">ROUND($C$48*C58*D58,0)</f>
        <v>284</v>
      </c>
      <c r="C58" s="171">
        <f t="shared" si="16"/>
        <v>0.2</v>
      </c>
      <c r="D58" s="945">
        <v>0.25</v>
      </c>
      <c r="E58" s="642"/>
      <c r="F58" s="886">
        <f t="shared" si="15"/>
        <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1891</v>
      </c>
      <c r="B59" s="218">
        <f t="shared" si="17"/>
        <v>284</v>
      </c>
      <c r="C59" s="171">
        <f t="shared" si="16"/>
        <v>0.2</v>
      </c>
      <c r="D59" s="945">
        <v>0.25</v>
      </c>
      <c r="E59" s="642"/>
      <c r="F59" s="886">
        <f t="shared" si="15"/>
        <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1892</v>
      </c>
      <c r="B60" s="218">
        <f t="shared" si="17"/>
        <v>284</v>
      </c>
      <c r="C60" s="171">
        <f t="shared" si="16"/>
        <v>0.2</v>
      </c>
      <c r="D60" s="945">
        <v>0.25</v>
      </c>
      <c r="E60" s="217">
        <f>'数据-汇总表'!E11</f>
        <v>0</v>
      </c>
      <c r="F60" s="886">
        <f t="shared" si="15"/>
        <v>0</v>
      </c>
      <c r="G60" s="1986" t="s">
        <v>1893</v>
      </c>
      <c r="H60" s="887" t="str">
        <f>项目基本情况!C37</f>
        <v>九级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1894</v>
      </c>
      <c r="B61" s="218">
        <f t="shared" si="17"/>
        <v>284</v>
      </c>
      <c r="C61" s="171">
        <f t="shared" si="16"/>
        <v>0.2</v>
      </c>
      <c r="D61" s="945">
        <v>0.25</v>
      </c>
      <c r="E61" s="217">
        <f>'数据-汇总表'!E12</f>
        <v>0</v>
      </c>
      <c r="F61" s="886">
        <f t="shared" si="15"/>
        <v>0</v>
      </c>
      <c r="G61" s="892" t="s">
        <v>1895</v>
      </c>
      <c r="H61" s="887" t="str">
        <f>IF(G61="商业",项目基本情况!B37,IF(G61="办公",项目基本情况!C37,IF(G61="住宅",项目基本情况!D37,项目基本情况!E37)))</f>
        <v>九级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1896</v>
      </c>
      <c r="B62" s="218">
        <f t="shared" si="17"/>
        <v>142</v>
      </c>
      <c r="C62" s="171">
        <f t="shared" si="16"/>
        <v>0.1</v>
      </c>
      <c r="D62" s="945">
        <v>0.25</v>
      </c>
      <c r="E62" s="217">
        <f>'数据-汇总表'!E13</f>
        <v>0</v>
      </c>
      <c r="F62" s="886">
        <f t="shared" si="15"/>
        <v>0</v>
      </c>
      <c r="G62" s="892" t="s">
        <v>1897</v>
      </c>
      <c r="H62" s="887" t="str">
        <f>IF(G62="商业",项目基本情况!B37,IF(G62="办公",项目基本情况!C37,IF(G62="住宅",项目基本情况!D37,项目基本情况!E37)))</f>
        <v>九级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1898</v>
      </c>
      <c r="B63" s="218">
        <f t="shared" si="17"/>
        <v>142</v>
      </c>
      <c r="C63" s="171">
        <f t="shared" si="16"/>
        <v>0.1</v>
      </c>
      <c r="D63" s="945">
        <v>0.25</v>
      </c>
      <c r="E63" s="217">
        <f>'数据-汇总表'!E14</f>
        <v>0</v>
      </c>
      <c r="F63" s="886">
        <f t="shared" si="15"/>
        <v>0</v>
      </c>
      <c r="G63" s="1986" t="s">
        <v>1889</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1899</v>
      </c>
      <c r="B64" s="218">
        <f t="shared" si="17"/>
        <v>142</v>
      </c>
      <c r="C64" s="171">
        <f t="shared" si="16"/>
        <v>0.1</v>
      </c>
      <c r="D64" s="945">
        <v>0.25</v>
      </c>
      <c r="E64" s="217">
        <f>'数据-汇总表'!E15</f>
        <v>0</v>
      </c>
      <c r="F64" s="886">
        <f t="shared" si="15"/>
        <v>0</v>
      </c>
      <c r="G64" s="1987" t="s">
        <v>1893</v>
      </c>
      <c r="H64" s="897" t="str">
        <f>项目基本情况!C37</f>
        <v>九级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30" s="640" customFormat="1" ht="13.5" thickBot="1">
      <c r="A65" s="643" t="s">
        <v>1900</v>
      </c>
      <c r="B65" s="644" t="s">
        <v>22</v>
      </c>
      <c r="C65" s="644" t="s">
        <v>23</v>
      </c>
      <c r="D65" s="644" t="s">
        <v>392</v>
      </c>
      <c r="E65" s="644">
        <f>IF(B46="楼面地价",SUM(E56:E64),'数据-汇总表'!D3)</f>
        <v>30243.989999999998</v>
      </c>
      <c r="F65" s="645">
        <f>IF(B46="楼面地价",SUM(F56:F64),ROUND(C48*E65/10000,0))</f>
        <v>17163</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30">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30">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929">
        <f t="shared" ref="P67" si="19">EDATE(O67,-3)</f>
        <v>44166</v>
      </c>
      <c r="Q67" s="929">
        <f t="shared" ref="Q67" si="20">EDATE(P67,-3)</f>
        <v>44075</v>
      </c>
      <c r="R67" s="929">
        <f t="shared" ref="R67" si="21">EDATE(Q67,-3)</f>
        <v>43983</v>
      </c>
      <c r="S67" s="929">
        <f t="shared" ref="S67" si="22">EDATE(R67,-3)</f>
        <v>43891</v>
      </c>
      <c r="T67" s="929">
        <f t="shared" ref="T67" si="23">EDATE(S67,-3)</f>
        <v>43800</v>
      </c>
      <c r="U67" s="929">
        <f t="shared" ref="U67" si="24">EDATE(T67,-3)</f>
        <v>43709</v>
      </c>
      <c r="V67" s="929">
        <f t="shared" ref="V67" si="25">EDATE(U67,-3)</f>
        <v>43617</v>
      </c>
      <c r="W67" s="929">
        <f t="shared" ref="W67" si="26">EDATE(V67,-3)</f>
        <v>43525</v>
      </c>
      <c r="X67" s="929">
        <f t="shared" ref="X67" si="27">EDATE(W67,-3)</f>
        <v>43435</v>
      </c>
      <c r="Y67" s="929">
        <f t="shared" ref="Y67" si="28">EDATE(X67,-3)</f>
        <v>43344</v>
      </c>
      <c r="Z67" s="929">
        <f t="shared" ref="Z67" si="29">EDATE(Y67,-3)</f>
        <v>43252</v>
      </c>
      <c r="AA67" s="929">
        <f t="shared" ref="AA67" si="30">EDATE(Z67,-3)</f>
        <v>43160</v>
      </c>
      <c r="AB67" s="929">
        <f t="shared" ref="AB67" si="31">EDATE(AA67,-3)</f>
        <v>43070</v>
      </c>
      <c r="AC67" s="929">
        <f t="shared" ref="AC67" si="32">EDATE(AB67,-3)</f>
        <v>42979</v>
      </c>
      <c r="AD67" s="929">
        <f t="shared" ref="AD67" si="33">EDATE(AC67,-3)</f>
        <v>42887</v>
      </c>
    </row>
    <row r="68" spans="1:30" ht="21.75" thickBot="1">
      <c r="A68" s="694" t="s">
        <v>1795</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30" s="457" customFormat="1" ht="42.75">
      <c r="A69" s="1988" t="s">
        <v>1901</v>
      </c>
      <c r="B69" s="1109"/>
      <c r="C69" s="1181" t="str">
        <f>YEAR(C67)&amp;"-"&amp;ROUNDUP(MONTH(C67)/3,0)</f>
        <v>2024-1</v>
      </c>
      <c r="D69" s="1181" t="str">
        <f>YEAR(D67)&amp;"-"&amp;ROUNDUP(MONTH(D67)/3,0)</f>
        <v>2023-4</v>
      </c>
      <c r="E69" s="1181" t="str">
        <f t="shared" ref="E69:AA69" si="34">YEAR(E67)&amp;"-"&amp;ROUNDUP(MONTH(E67)/3,0)</f>
        <v>2023-3</v>
      </c>
      <c r="F69" s="1181" t="str">
        <f t="shared" si="34"/>
        <v>2023-2</v>
      </c>
      <c r="G69" s="1181" t="str">
        <f t="shared" si="34"/>
        <v>2023-1</v>
      </c>
      <c r="H69" s="1181" t="str">
        <f t="shared" si="34"/>
        <v>2022-4</v>
      </c>
      <c r="I69" s="1181" t="str">
        <f t="shared" si="34"/>
        <v>2022-3</v>
      </c>
      <c r="J69" s="1181" t="str">
        <f t="shared" si="34"/>
        <v>2022-2</v>
      </c>
      <c r="K69" s="1181" t="str">
        <f t="shared" si="34"/>
        <v>2022-1</v>
      </c>
      <c r="L69" s="1181" t="str">
        <f t="shared" si="34"/>
        <v>2021-4</v>
      </c>
      <c r="M69" s="1181" t="str">
        <f t="shared" si="34"/>
        <v>2021-3</v>
      </c>
      <c r="N69" s="1181" t="str">
        <f t="shared" si="34"/>
        <v>2021-2</v>
      </c>
      <c r="O69" s="1181" t="str">
        <f t="shared" si="34"/>
        <v>2021-1</v>
      </c>
      <c r="P69" s="3462" t="str">
        <f t="shared" si="34"/>
        <v>2020-4</v>
      </c>
      <c r="Q69" s="3462" t="str">
        <f t="shared" si="34"/>
        <v>2020-3</v>
      </c>
      <c r="R69" s="3462" t="str">
        <f t="shared" si="34"/>
        <v>2020-2</v>
      </c>
      <c r="S69" s="3462" t="str">
        <f t="shared" si="34"/>
        <v>2020-1</v>
      </c>
      <c r="T69" s="3462" t="str">
        <f t="shared" si="34"/>
        <v>2019-4</v>
      </c>
      <c r="U69" s="3462" t="str">
        <f t="shared" si="34"/>
        <v>2019-3</v>
      </c>
      <c r="V69" s="3462" t="str">
        <f t="shared" si="34"/>
        <v>2019-2</v>
      </c>
      <c r="W69" s="3462" t="str">
        <f t="shared" si="34"/>
        <v>2019-1</v>
      </c>
      <c r="X69" s="3462" t="str">
        <f t="shared" si="34"/>
        <v>2018-4</v>
      </c>
      <c r="Y69" s="3462" t="str">
        <f t="shared" si="34"/>
        <v>2018-3</v>
      </c>
      <c r="Z69" s="3462" t="str">
        <f t="shared" si="34"/>
        <v>2018-2</v>
      </c>
      <c r="AA69" s="3462" t="str">
        <f t="shared" si="34"/>
        <v>2018-1</v>
      </c>
      <c r="AB69" s="2739"/>
      <c r="AC69" s="2739"/>
    </row>
    <row r="70" spans="1:30" s="108" customFormat="1" ht="30" customHeight="1">
      <c r="A70" s="1989" t="s">
        <v>1902</v>
      </c>
      <c r="B70" s="288" t="str">
        <f>"北京市平均增长率"&amp;TEXT(SUMIF(基准地价修正!N25:N29,A70,基准地价修正!P25:P29),"0.00%")</f>
        <v>北京市平均增长率0.00%</v>
      </c>
      <c r="C70" s="552">
        <v>100</v>
      </c>
      <c r="D70" s="544">
        <v>100</v>
      </c>
      <c r="E70" s="544">
        <v>100</v>
      </c>
      <c r="F70" s="544">
        <v>100</v>
      </c>
      <c r="G70" s="544">
        <v>99</v>
      </c>
      <c r="H70" s="544">
        <v>99</v>
      </c>
      <c r="I70" s="544">
        <v>99</v>
      </c>
      <c r="J70" s="544">
        <v>99</v>
      </c>
      <c r="K70" s="544">
        <v>98</v>
      </c>
      <c r="L70" s="544">
        <v>98</v>
      </c>
      <c r="M70" s="1178">
        <v>98</v>
      </c>
      <c r="N70" s="1179">
        <v>98</v>
      </c>
      <c r="O70" s="932">
        <v>97</v>
      </c>
      <c r="P70" s="932">
        <v>97</v>
      </c>
      <c r="Q70" s="932">
        <v>97</v>
      </c>
      <c r="R70" s="2660">
        <v>97</v>
      </c>
      <c r="S70" s="2660">
        <v>96</v>
      </c>
      <c r="T70" s="2660">
        <v>96</v>
      </c>
      <c r="U70" s="2660">
        <v>96</v>
      </c>
      <c r="V70" s="2660">
        <v>96</v>
      </c>
      <c r="W70" s="2660"/>
      <c r="X70" s="2660"/>
      <c r="Y70" s="2660"/>
      <c r="Z70" s="2660"/>
      <c r="AA70" s="2660"/>
      <c r="AB70" s="2660"/>
      <c r="AC70" s="2660"/>
    </row>
    <row r="71" spans="1:30" s="108" customFormat="1" ht="15.75" thickBot="1">
      <c r="A71" s="464" t="s">
        <v>1713</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30" s="108" customFormat="1" ht="15">
      <c r="A72" s="470" t="s">
        <v>1678</v>
      </c>
      <c r="B72" s="459"/>
      <c r="C72" s="471" t="s">
        <v>1773</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30"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30">
      <c r="A74" s="476" t="s">
        <v>1716</v>
      </c>
      <c r="B74" s="477" t="s">
        <v>1682</v>
      </c>
      <c r="C74" s="3453" t="s">
        <v>3587</v>
      </c>
      <c r="D74" s="479" t="s">
        <v>3588</v>
      </c>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30" ht="15.75" thickBot="1">
      <c r="A75" s="483"/>
      <c r="B75" s="484"/>
      <c r="C75" s="485">
        <v>100</v>
      </c>
      <c r="D75" s="485">
        <v>110</v>
      </c>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30" ht="27.75" thickTop="1">
      <c r="A76" s="483"/>
      <c r="B76" s="487" t="s">
        <v>1685</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30"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30" ht="15.75" thickTop="1">
      <c r="A78" s="483"/>
      <c r="B78" s="495" t="s">
        <v>1686</v>
      </c>
      <c r="C78" s="496" t="str">
        <f>C79&amp;"（含）"&amp;"-"&amp;D79</f>
        <v>0（含）-1</v>
      </c>
      <c r="D78" s="496" t="str">
        <f t="shared" ref="D78:L78" si="35">D79&amp;"（含）"&amp;"-"&amp;E79</f>
        <v>1（含）-2</v>
      </c>
      <c r="E78" s="496" t="str">
        <f t="shared" si="35"/>
        <v>2（含）-3</v>
      </c>
      <c r="F78" s="496" t="str">
        <f t="shared" si="35"/>
        <v>3（含）-4</v>
      </c>
      <c r="G78" s="496" t="str">
        <f t="shared" si="35"/>
        <v>4（含）-5</v>
      </c>
      <c r="H78" s="496" t="str">
        <f t="shared" si="35"/>
        <v>5（含）-6</v>
      </c>
      <c r="I78" s="496" t="str">
        <f t="shared" si="35"/>
        <v>6（含）-7</v>
      </c>
      <c r="J78" s="496" t="str">
        <f t="shared" si="35"/>
        <v>7（含）-8</v>
      </c>
      <c r="K78" s="496" t="str">
        <f t="shared" si="35"/>
        <v>8（含）-</v>
      </c>
      <c r="L78" s="496" t="str">
        <f t="shared" si="35"/>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30" ht="15">
      <c r="A79" s="483"/>
      <c r="B79" s="497"/>
      <c r="C79" s="498">
        <v>0</v>
      </c>
      <c r="D79" s="498">
        <v>1</v>
      </c>
      <c r="E79" s="498">
        <v>2</v>
      </c>
      <c r="F79" s="498">
        <v>3</v>
      </c>
      <c r="G79" s="498">
        <v>4</v>
      </c>
      <c r="H79" s="498">
        <v>5</v>
      </c>
      <c r="I79" s="498">
        <v>6</v>
      </c>
      <c r="J79" s="498">
        <v>7</v>
      </c>
      <c r="K79" s="498">
        <v>8</v>
      </c>
      <c r="L79" s="500"/>
      <c r="M79" s="501"/>
      <c r="N79" s="2751"/>
      <c r="O79" s="2751"/>
      <c r="P79" s="2776"/>
      <c r="Q79" s="2737"/>
      <c r="R79" s="2723"/>
      <c r="S79" s="2723"/>
      <c r="T79" s="2723"/>
      <c r="U79" s="2723"/>
      <c r="V79" s="2723"/>
      <c r="W79" s="2723"/>
      <c r="X79" s="2723"/>
      <c r="Y79" s="2723"/>
      <c r="Z79" s="2723"/>
      <c r="AA79" s="2723"/>
      <c r="AB79" s="2723"/>
      <c r="AC79" s="2723"/>
    </row>
    <row r="80" spans="1:30" ht="15.75" thickBot="1">
      <c r="A80" s="483"/>
      <c r="B80" s="484"/>
      <c r="C80" s="493">
        <v>100</v>
      </c>
      <c r="D80" s="493">
        <f t="shared" ref="D80:M80" si="36">IF($B$46="单位面积地价",C80+$K11,C80-$K11)</f>
        <v>98</v>
      </c>
      <c r="E80" s="493">
        <f t="shared" si="36"/>
        <v>96</v>
      </c>
      <c r="F80" s="493">
        <f t="shared" si="36"/>
        <v>94</v>
      </c>
      <c r="G80" s="493">
        <f t="shared" si="36"/>
        <v>92</v>
      </c>
      <c r="H80" s="493">
        <f t="shared" si="36"/>
        <v>90</v>
      </c>
      <c r="I80" s="493">
        <f t="shared" si="36"/>
        <v>88</v>
      </c>
      <c r="J80" s="493">
        <f t="shared" si="36"/>
        <v>86</v>
      </c>
      <c r="K80" s="493">
        <f t="shared" si="36"/>
        <v>84</v>
      </c>
      <c r="L80" s="493">
        <f t="shared" si="36"/>
        <v>82</v>
      </c>
      <c r="M80" s="493">
        <f t="shared" si="36"/>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3454" t="s">
        <v>3589</v>
      </c>
      <c r="D81" s="3454" t="s">
        <v>3590</v>
      </c>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v>100</v>
      </c>
      <c r="D82" s="509">
        <v>90</v>
      </c>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1687</v>
      </c>
      <c r="B87" s="477" t="s">
        <v>1717</v>
      </c>
      <c r="C87" s="522" t="s">
        <v>1718</v>
      </c>
      <c r="D87" s="522" t="s">
        <v>1719</v>
      </c>
      <c r="E87" s="522" t="s">
        <v>1720</v>
      </c>
      <c r="F87" s="522" t="s">
        <v>1721</v>
      </c>
      <c r="G87" s="522" t="s">
        <v>1722</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1903</v>
      </c>
      <c r="C89" s="527" t="s">
        <v>1718</v>
      </c>
      <c r="D89" s="527" t="s">
        <v>1719</v>
      </c>
      <c r="E89" s="527" t="s">
        <v>1720</v>
      </c>
      <c r="F89" s="527" t="s">
        <v>1721</v>
      </c>
      <c r="G89" s="527" t="s">
        <v>1722</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1818</v>
      </c>
      <c r="C91" s="527" t="s">
        <v>1718</v>
      </c>
      <c r="D91" s="527" t="s">
        <v>1719</v>
      </c>
      <c r="E91" s="527" t="s">
        <v>1720</v>
      </c>
      <c r="F91" s="527" t="s">
        <v>1721</v>
      </c>
      <c r="G91" s="527" t="s">
        <v>1722</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1723</v>
      </c>
      <c r="C93" s="527" t="s">
        <v>1718</v>
      </c>
      <c r="D93" s="527" t="s">
        <v>1719</v>
      </c>
      <c r="E93" s="527" t="s">
        <v>1720</v>
      </c>
      <c r="F93" s="527" t="s">
        <v>1721</v>
      </c>
      <c r="G93" s="527" t="s">
        <v>1722</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37">C104-$K31</f>
        <v>100</v>
      </c>
      <c r="E104" s="493">
        <f t="shared" si="37"/>
        <v>100</v>
      </c>
      <c r="F104" s="493">
        <f t="shared" si="37"/>
        <v>100</v>
      </c>
      <c r="G104" s="493">
        <f t="shared" si="37"/>
        <v>100</v>
      </c>
      <c r="H104" s="493">
        <f t="shared" si="37"/>
        <v>100</v>
      </c>
      <c r="I104" s="493">
        <f t="shared" si="37"/>
        <v>100</v>
      </c>
      <c r="J104" s="493">
        <f t="shared" si="37"/>
        <v>100</v>
      </c>
      <c r="K104" s="493">
        <f t="shared" si="37"/>
        <v>100</v>
      </c>
      <c r="L104" s="493">
        <f t="shared" si="37"/>
        <v>100</v>
      </c>
      <c r="M104" s="493">
        <f t="shared" si="37"/>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1812</v>
      </c>
      <c r="C105" s="3455" t="s">
        <v>3591</v>
      </c>
      <c r="D105" s="3455" t="s">
        <v>3592</v>
      </c>
      <c r="E105" s="3455" t="s">
        <v>3593</v>
      </c>
      <c r="F105" s="3455" t="s">
        <v>3594</v>
      </c>
      <c r="G105" s="3455" t="s">
        <v>3595</v>
      </c>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38">C106-$K32</f>
        <v>100</v>
      </c>
      <c r="E106" s="493">
        <f t="shared" si="38"/>
        <v>100</v>
      </c>
      <c r="F106" s="493">
        <f t="shared" si="38"/>
        <v>100</v>
      </c>
      <c r="G106" s="493">
        <f t="shared" si="38"/>
        <v>100</v>
      </c>
      <c r="H106" s="493">
        <f t="shared" si="38"/>
        <v>100</v>
      </c>
      <c r="I106" s="493">
        <f t="shared" si="38"/>
        <v>100</v>
      </c>
      <c r="J106" s="493">
        <f t="shared" si="38"/>
        <v>100</v>
      </c>
      <c r="K106" s="493">
        <f t="shared" si="38"/>
        <v>100</v>
      </c>
      <c r="L106" s="493">
        <f t="shared" si="38"/>
        <v>100</v>
      </c>
      <c r="M106" s="493">
        <f t="shared" si="38"/>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1870</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39">C108-$K34</f>
        <v>100</v>
      </c>
      <c r="E108" s="493">
        <f t="shared" si="39"/>
        <v>100</v>
      </c>
      <c r="F108" s="493">
        <f t="shared" si="39"/>
        <v>100</v>
      </c>
      <c r="G108" s="493">
        <f t="shared" si="39"/>
        <v>100</v>
      </c>
      <c r="H108" s="493">
        <f t="shared" si="39"/>
        <v>100</v>
      </c>
      <c r="I108" s="493">
        <f t="shared" si="39"/>
        <v>100</v>
      </c>
      <c r="J108" s="493">
        <f t="shared" si="39"/>
        <v>100</v>
      </c>
      <c r="K108" s="493">
        <f t="shared" si="39"/>
        <v>100</v>
      </c>
      <c r="L108" s="493">
        <f t="shared" si="39"/>
        <v>100</v>
      </c>
      <c r="M108" s="493">
        <f t="shared" si="39"/>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1691</v>
      </c>
      <c r="B115" s="477" t="s">
        <v>1910</v>
      </c>
      <c r="C115" s="478" t="str">
        <f>C116&amp;"(含)"&amp;"-"&amp;D116</f>
        <v>0(含)-50000</v>
      </c>
      <c r="D115" s="478" t="str">
        <f t="shared" ref="D115:M115" si="40">D116&amp;"(含)"&amp;"-"&amp;E116</f>
        <v>50000(含)-100000</v>
      </c>
      <c r="E115" s="478" t="str">
        <f t="shared" si="40"/>
        <v>100000(含)-150000</v>
      </c>
      <c r="F115" s="478" t="str">
        <f t="shared" si="40"/>
        <v>150000(含)-</v>
      </c>
      <c r="G115" s="478" t="str">
        <f t="shared" si="40"/>
        <v>(含)-</v>
      </c>
      <c r="H115" s="478" t="str">
        <f t="shared" si="40"/>
        <v>(含)-</v>
      </c>
      <c r="I115" s="478" t="str">
        <f t="shared" si="40"/>
        <v>(含)-</v>
      </c>
      <c r="J115" s="478" t="str">
        <f t="shared" si="40"/>
        <v>(含)-</v>
      </c>
      <c r="K115" s="478" t="str">
        <f t="shared" si="40"/>
        <v>(含)-</v>
      </c>
      <c r="L115" s="478" t="str">
        <f t="shared" si="40"/>
        <v>(含)-</v>
      </c>
      <c r="M115" s="478" t="str">
        <f t="shared" si="40"/>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3456">
        <v>0</v>
      </c>
      <c r="D116" s="3456">
        <v>50000</v>
      </c>
      <c r="E116" s="3456">
        <v>100000</v>
      </c>
      <c r="F116" s="3456">
        <v>150000</v>
      </c>
      <c r="G116" s="3456"/>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3457">
        <v>100</v>
      </c>
      <c r="D117" s="3458">
        <f>C117+1</f>
        <v>101</v>
      </c>
      <c r="E117" s="3458">
        <f t="shared" ref="E117:F117" si="41">D117+1</f>
        <v>102</v>
      </c>
      <c r="F117" s="3458">
        <f t="shared" si="41"/>
        <v>103</v>
      </c>
      <c r="G117" s="3458"/>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43.5" thickTop="1">
      <c r="A118" s="548"/>
      <c r="B118" s="487" t="s">
        <v>1911</v>
      </c>
      <c r="C118" s="3459" t="s">
        <v>3596</v>
      </c>
      <c r="D118" s="3459" t="s">
        <v>3597</v>
      </c>
      <c r="E118" s="3459" t="s">
        <v>3598</v>
      </c>
      <c r="F118" s="3459" t="s">
        <v>3599</v>
      </c>
      <c r="G118" s="3459" t="s">
        <v>3600</v>
      </c>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42">C119-$K39</f>
        <v>100</v>
      </c>
      <c r="E119" s="493">
        <f t="shared" si="42"/>
        <v>100</v>
      </c>
      <c r="F119" s="493">
        <f t="shared" si="42"/>
        <v>100</v>
      </c>
      <c r="G119" s="493">
        <f t="shared" si="42"/>
        <v>100</v>
      </c>
      <c r="H119" s="493">
        <f t="shared" si="42"/>
        <v>100</v>
      </c>
      <c r="I119" s="493">
        <f t="shared" si="42"/>
        <v>100</v>
      </c>
      <c r="J119" s="493">
        <f t="shared" si="42"/>
        <v>100</v>
      </c>
      <c r="K119" s="493">
        <f t="shared" si="42"/>
        <v>100</v>
      </c>
      <c r="L119" s="493">
        <f t="shared" si="42"/>
        <v>100</v>
      </c>
      <c r="M119" s="494">
        <f t="shared" si="42"/>
        <v>100</v>
      </c>
      <c r="N119" s="2752"/>
      <c r="O119" s="2752"/>
      <c r="P119" s="2776"/>
      <c r="Q119" s="2737"/>
      <c r="R119" s="2723"/>
      <c r="S119" s="2723"/>
      <c r="T119" s="2723"/>
      <c r="U119" s="2723"/>
      <c r="V119" s="2723"/>
      <c r="W119" s="2723"/>
      <c r="X119" s="2723"/>
      <c r="Y119" s="2723"/>
      <c r="Z119" s="2723"/>
      <c r="AA119" s="2723"/>
      <c r="AB119" s="2723"/>
      <c r="AC119" s="2723"/>
    </row>
    <row r="120" spans="1:29" ht="72" thickTop="1">
      <c r="A120" s="548"/>
      <c r="B120" s="487" t="s">
        <v>1912</v>
      </c>
      <c r="C120" s="3460" t="s">
        <v>3601</v>
      </c>
      <c r="D120" s="3460" t="s">
        <v>3602</v>
      </c>
      <c r="E120" s="3460" t="s">
        <v>3603</v>
      </c>
      <c r="F120" s="3459" t="s">
        <v>3604</v>
      </c>
      <c r="G120" s="3459" t="s">
        <v>3605</v>
      </c>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43">C121-$K40</f>
        <v>100</v>
      </c>
      <c r="E121" s="493">
        <f t="shared" si="43"/>
        <v>100</v>
      </c>
      <c r="F121" s="493">
        <f t="shared" si="43"/>
        <v>100</v>
      </c>
      <c r="G121" s="493">
        <f t="shared" si="43"/>
        <v>100</v>
      </c>
      <c r="H121" s="493">
        <f t="shared" si="43"/>
        <v>100</v>
      </c>
      <c r="I121" s="493">
        <f t="shared" si="43"/>
        <v>100</v>
      </c>
      <c r="J121" s="493">
        <f t="shared" si="43"/>
        <v>100</v>
      </c>
      <c r="K121" s="493">
        <f t="shared" si="43"/>
        <v>100</v>
      </c>
      <c r="L121" s="493">
        <f t="shared" si="43"/>
        <v>100</v>
      </c>
      <c r="M121" s="494">
        <f t="shared" si="43"/>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1913</v>
      </c>
      <c r="C122" s="3460" t="s">
        <v>3606</v>
      </c>
      <c r="D122" s="3460" t="s">
        <v>3607</v>
      </c>
      <c r="E122" s="3460" t="s">
        <v>3608</v>
      </c>
      <c r="F122" s="3460" t="s">
        <v>3609</v>
      </c>
      <c r="G122" s="3460" t="s">
        <v>3610</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44">C123-$K41</f>
        <v>100</v>
      </c>
      <c r="E123" s="493">
        <f t="shared" si="44"/>
        <v>100</v>
      </c>
      <c r="F123" s="493">
        <f t="shared" si="44"/>
        <v>100</v>
      </c>
      <c r="G123" s="493">
        <f t="shared" si="44"/>
        <v>100</v>
      </c>
      <c r="H123" s="493">
        <f t="shared" si="44"/>
        <v>100</v>
      </c>
      <c r="I123" s="493">
        <f t="shared" si="44"/>
        <v>100</v>
      </c>
      <c r="J123" s="493">
        <f t="shared" si="44"/>
        <v>100</v>
      </c>
      <c r="K123" s="493">
        <f t="shared" si="44"/>
        <v>100</v>
      </c>
      <c r="L123" s="493">
        <f t="shared" si="44"/>
        <v>100</v>
      </c>
      <c r="M123" s="494">
        <f t="shared" si="44"/>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1914</v>
      </c>
      <c r="C124" s="3460" t="s">
        <v>3611</v>
      </c>
      <c r="D124" s="3460" t="s">
        <v>3612</v>
      </c>
      <c r="E124" s="3459" t="s">
        <v>3396</v>
      </c>
      <c r="F124" s="3459" t="s">
        <v>3613</v>
      </c>
      <c r="G124" s="3459" t="s">
        <v>3614</v>
      </c>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45">C125-$K42</f>
        <v>100</v>
      </c>
      <c r="E125" s="493">
        <f t="shared" si="45"/>
        <v>100</v>
      </c>
      <c r="F125" s="493">
        <f t="shared" si="45"/>
        <v>100</v>
      </c>
      <c r="G125" s="493">
        <f t="shared" si="45"/>
        <v>100</v>
      </c>
      <c r="H125" s="493">
        <f t="shared" si="45"/>
        <v>100</v>
      </c>
      <c r="I125" s="493">
        <f t="shared" si="45"/>
        <v>100</v>
      </c>
      <c r="J125" s="493">
        <f t="shared" si="45"/>
        <v>100</v>
      </c>
      <c r="K125" s="493">
        <f t="shared" si="45"/>
        <v>100</v>
      </c>
      <c r="L125" s="493">
        <f t="shared" si="45"/>
        <v>100</v>
      </c>
      <c r="M125" s="494">
        <f t="shared" si="45"/>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51" t="s">
        <v>1772</v>
      </c>
      <c r="Q4" s="3752"/>
      <c r="R4" s="3757" t="s">
        <v>1768</v>
      </c>
      <c r="S4" s="3758"/>
      <c r="T4" s="3757" t="s">
        <v>1769</v>
      </c>
      <c r="U4" s="3758"/>
      <c r="V4" s="3763" t="s">
        <v>1770</v>
      </c>
      <c r="W4" s="3763"/>
      <c r="X4" s="1354"/>
      <c r="Y4" s="3757" t="s">
        <v>1772</v>
      </c>
      <c r="Z4" s="3758"/>
      <c r="AA4" s="3744" t="s">
        <v>1768</v>
      </c>
      <c r="AB4" s="3745" t="s">
        <v>1769</v>
      </c>
      <c r="AC4" s="3744" t="s">
        <v>1770</v>
      </c>
    </row>
    <row r="5" spans="1:29" ht="15">
      <c r="A5" s="358"/>
      <c r="B5" s="359"/>
      <c r="C5" s="3766" t="s">
        <v>1670</v>
      </c>
      <c r="D5" s="3767"/>
      <c r="E5" s="3773" t="s">
        <v>1671</v>
      </c>
      <c r="F5" s="3774"/>
      <c r="G5" s="3766" t="s">
        <v>1672</v>
      </c>
      <c r="H5" s="3767"/>
      <c r="I5" s="3766" t="s">
        <v>1673</v>
      </c>
      <c r="J5" s="3767"/>
      <c r="K5" s="559"/>
      <c r="L5" s="2713"/>
      <c r="M5" s="2714"/>
      <c r="N5" s="2714"/>
      <c r="O5" s="2714"/>
      <c r="P5" s="3753"/>
      <c r="Q5" s="3754"/>
      <c r="R5" s="3759"/>
      <c r="S5" s="3760"/>
      <c r="T5" s="3759"/>
      <c r="U5" s="3760"/>
      <c r="V5" s="3763"/>
      <c r="W5" s="3763"/>
      <c r="X5" s="1354"/>
      <c r="Y5" s="3759"/>
      <c r="Z5" s="3760"/>
      <c r="AA5" s="3745"/>
      <c r="AB5" s="3745"/>
      <c r="AC5" s="3745"/>
    </row>
    <row r="6" spans="1:29" ht="15.75" thickBot="1">
      <c r="A6" s="360"/>
      <c r="B6" s="361"/>
      <c r="C6" s="3797" t="s">
        <v>1916</v>
      </c>
      <c r="D6" s="3798"/>
      <c r="E6" s="3799" t="s">
        <v>1916</v>
      </c>
      <c r="F6" s="3800"/>
      <c r="G6" s="3797" t="s">
        <v>1916</v>
      </c>
      <c r="H6" s="3798"/>
      <c r="I6" s="3797" t="s">
        <v>1916</v>
      </c>
      <c r="J6" s="3798"/>
      <c r="K6" s="559" t="s">
        <v>1675</v>
      </c>
      <c r="L6" s="2713"/>
      <c r="M6" s="2714"/>
      <c r="N6" s="2714"/>
      <c r="O6" s="2714"/>
      <c r="P6" s="3755"/>
      <c r="Q6" s="3756"/>
      <c r="R6" s="3759"/>
      <c r="S6" s="3760"/>
      <c r="T6" s="3761"/>
      <c r="U6" s="3762"/>
      <c r="V6" s="3763"/>
      <c r="W6" s="3763"/>
      <c r="X6" s="1354"/>
      <c r="Y6" s="3761"/>
      <c r="Z6" s="3762"/>
      <c r="AA6" s="3746"/>
      <c r="AB6" s="3746"/>
      <c r="AC6" s="3746"/>
    </row>
    <row r="7" spans="1:29" s="108" customFormat="1" ht="15.75" thickBot="1">
      <c r="A7" s="362" t="s">
        <v>1676</v>
      </c>
      <c r="B7" s="363"/>
      <c r="C7" s="364">
        <f>'数据-取费表'!B2</f>
        <v>45372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68" t="s">
        <v>1677</v>
      </c>
      <c r="Q7" s="3770"/>
      <c r="R7" s="701" t="s">
        <v>14</v>
      </c>
      <c r="S7" s="702">
        <f t="shared" ref="S7:S15" si="0">F7</f>
        <v>0</v>
      </c>
      <c r="T7" s="701" t="s">
        <v>14</v>
      </c>
      <c r="U7" s="702">
        <f t="shared" ref="U7:U15" si="1">H7</f>
        <v>0</v>
      </c>
      <c r="V7" s="701" t="s">
        <v>14</v>
      </c>
      <c r="W7" s="702">
        <f t="shared" ref="W7:W15" si="2">J7</f>
        <v>0</v>
      </c>
      <c r="X7" s="703"/>
      <c r="Y7" s="3768" t="s">
        <v>1677</v>
      </c>
      <c r="Z7" s="3769"/>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8" t="s">
        <v>1680</v>
      </c>
      <c r="Q8" s="3769"/>
      <c r="R8" s="701" t="s">
        <v>14</v>
      </c>
      <c r="S8" s="702">
        <f t="shared" si="0"/>
        <v>0</v>
      </c>
      <c r="T8" s="701" t="s">
        <v>14</v>
      </c>
      <c r="U8" s="702">
        <f t="shared" si="1"/>
        <v>0</v>
      </c>
      <c r="V8" s="701" t="s">
        <v>14</v>
      </c>
      <c r="W8" s="702">
        <f t="shared" si="2"/>
        <v>0</v>
      </c>
      <c r="X8" s="703"/>
      <c r="Y8" s="3768" t="s">
        <v>1680</v>
      </c>
      <c r="Z8" s="3769"/>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2" t="s">
        <v>1683</v>
      </c>
      <c r="Q9" s="1342" t="str">
        <f t="shared" ref="Q9:Q15" si="6">B9</f>
        <v>用途</v>
      </c>
      <c r="R9" s="701" t="s">
        <v>14</v>
      </c>
      <c r="S9" s="702">
        <f t="shared" si="0"/>
        <v>100</v>
      </c>
      <c r="T9" s="701" t="s">
        <v>14</v>
      </c>
      <c r="U9" s="702">
        <f t="shared" si="1"/>
        <v>100</v>
      </c>
      <c r="V9" s="701" t="s">
        <v>14</v>
      </c>
      <c r="W9" s="702">
        <f t="shared" si="2"/>
        <v>100</v>
      </c>
      <c r="X9" s="703"/>
      <c r="Y9" s="3607"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125</v>
      </c>
      <c r="G10" s="383"/>
      <c r="H10" s="127">
        <f>ROUND(100/'数据-取费表'!G16,0)</f>
        <v>125</v>
      </c>
      <c r="I10" s="383"/>
      <c r="J10" s="127">
        <f>ROUND(100/'数据-取费表'!G16,0)</f>
        <v>125</v>
      </c>
      <c r="K10" s="620"/>
      <c r="L10" s="2717"/>
      <c r="M10" s="2718"/>
      <c r="N10" s="2718"/>
      <c r="O10" s="2771"/>
      <c r="P10" s="3732"/>
      <c r="Q10" s="1342" t="str">
        <f t="shared" si="6"/>
        <v>土地使用年限（年）</v>
      </c>
      <c r="R10" s="701" t="s">
        <v>14</v>
      </c>
      <c r="S10" s="702">
        <f t="shared" si="0"/>
        <v>125</v>
      </c>
      <c r="T10" s="701" t="s">
        <v>14</v>
      </c>
      <c r="U10" s="702">
        <f t="shared" si="1"/>
        <v>125</v>
      </c>
      <c r="V10" s="701" t="s">
        <v>14</v>
      </c>
      <c r="W10" s="702">
        <f t="shared" si="2"/>
        <v>125</v>
      </c>
      <c r="X10" s="703"/>
      <c r="Y10" s="3607"/>
      <c r="Z10" s="52" t="str">
        <f t="shared" si="7"/>
        <v>土地使用年限（年）</v>
      </c>
      <c r="AA10" s="704">
        <f t="shared" si="3"/>
        <v>0.8</v>
      </c>
      <c r="AB10" s="704">
        <f t="shared" si="4"/>
        <v>0.8</v>
      </c>
      <c r="AC10" s="704">
        <f t="shared" si="5"/>
        <v>0.8</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2"/>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2"/>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2"/>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2"/>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4" t="s">
        <v>1688</v>
      </c>
      <c r="Q15" s="1351" t="str">
        <f t="shared" si="6"/>
        <v>产业集聚程度</v>
      </c>
      <c r="R15" s="705" t="s">
        <v>14</v>
      </c>
      <c r="S15" s="706">
        <f t="shared" si="0"/>
        <v>100</v>
      </c>
      <c r="T15" s="705" t="s">
        <v>14</v>
      </c>
      <c r="U15" s="706">
        <f t="shared" si="1"/>
        <v>100</v>
      </c>
      <c r="V15" s="705" t="s">
        <v>14</v>
      </c>
      <c r="W15" s="706">
        <f t="shared" si="2"/>
        <v>100</v>
      </c>
      <c r="X15" s="1354"/>
      <c r="Y15" s="3734"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35"/>
      <c r="Q16" s="1351"/>
      <c r="R16" s="705"/>
      <c r="S16" s="706"/>
      <c r="T16" s="705"/>
      <c r="U16" s="706"/>
      <c r="V16" s="705"/>
      <c r="W16" s="706"/>
      <c r="X16" s="1354"/>
      <c r="Y16" s="3735"/>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5"/>
      <c r="Q17" s="1351" t="str">
        <f>B17</f>
        <v>交通便捷度</v>
      </c>
      <c r="R17" s="705" t="s">
        <v>14</v>
      </c>
      <c r="S17" s="706">
        <f>F17</f>
        <v>100</v>
      </c>
      <c r="T17" s="705" t="s">
        <v>14</v>
      </c>
      <c r="U17" s="706">
        <f>H17</f>
        <v>100</v>
      </c>
      <c r="V17" s="705" t="s">
        <v>14</v>
      </c>
      <c r="W17" s="706">
        <f>J17</f>
        <v>100</v>
      </c>
      <c r="X17" s="1354"/>
      <c r="Y17" s="373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35"/>
      <c r="Q18" s="1351"/>
      <c r="R18" s="705"/>
      <c r="S18" s="706"/>
      <c r="T18" s="705"/>
      <c r="U18" s="706"/>
      <c r="V18" s="705"/>
      <c r="W18" s="706"/>
      <c r="X18" s="1354"/>
      <c r="Y18" s="3735"/>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5"/>
      <c r="Q19" s="1351" t="str">
        <f t="shared" ref="Q19:Q33" si="8">B19</f>
        <v>区域土地利用方向</v>
      </c>
      <c r="R19" s="705" t="s">
        <v>14</v>
      </c>
      <c r="S19" s="706">
        <f>F19</f>
        <v>100</v>
      </c>
      <c r="T19" s="705" t="s">
        <v>14</v>
      </c>
      <c r="U19" s="706">
        <f>H19</f>
        <v>100</v>
      </c>
      <c r="V19" s="705" t="s">
        <v>14</v>
      </c>
      <c r="W19" s="706">
        <f>J19</f>
        <v>100</v>
      </c>
      <c r="X19" s="1354"/>
      <c r="Y19" s="373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35"/>
      <c r="Q20" s="1351"/>
      <c r="R20" s="705"/>
      <c r="S20" s="706"/>
      <c r="T20" s="705"/>
      <c r="U20" s="706"/>
      <c r="V20" s="705"/>
      <c r="W20" s="706"/>
      <c r="X20" s="1354"/>
      <c r="Y20" s="3735"/>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5"/>
      <c r="Q21" s="1351" t="str">
        <f t="shared" si="8"/>
        <v>环境状况</v>
      </c>
      <c r="R21" s="705" t="s">
        <v>14</v>
      </c>
      <c r="S21" s="706">
        <f>F21</f>
        <v>100</v>
      </c>
      <c r="T21" s="705" t="s">
        <v>14</v>
      </c>
      <c r="U21" s="706">
        <f>H21</f>
        <v>100</v>
      </c>
      <c r="V21" s="705" t="s">
        <v>14</v>
      </c>
      <c r="W21" s="706">
        <f>J21</f>
        <v>100</v>
      </c>
      <c r="X21" s="1354"/>
      <c r="Y21" s="373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35"/>
      <c r="Q22" s="1351"/>
      <c r="R22" s="705"/>
      <c r="S22" s="706"/>
      <c r="T22" s="705"/>
      <c r="U22" s="706"/>
      <c r="V22" s="705"/>
      <c r="W22" s="706"/>
      <c r="X22" s="1354"/>
      <c r="Y22" s="3735"/>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5"/>
      <c r="Q23" s="1342" t="str">
        <f t="shared" si="8"/>
        <v>公共配套设施</v>
      </c>
      <c r="R23" s="701" t="s">
        <v>14</v>
      </c>
      <c r="S23" s="702">
        <f>F23</f>
        <v>100</v>
      </c>
      <c r="T23" s="701" t="s">
        <v>14</v>
      </c>
      <c r="U23" s="702">
        <f>H23</f>
        <v>100</v>
      </c>
      <c r="V23" s="701" t="s">
        <v>14</v>
      </c>
      <c r="W23" s="702">
        <f>J23</f>
        <v>100</v>
      </c>
      <c r="X23" s="703"/>
      <c r="Y23" s="373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35"/>
      <c r="Q24" s="1342"/>
      <c r="R24" s="701"/>
      <c r="S24" s="702"/>
      <c r="T24" s="701"/>
      <c r="U24" s="702"/>
      <c r="V24" s="701"/>
      <c r="W24" s="702"/>
      <c r="X24" s="703"/>
      <c r="Y24" s="3735"/>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5"/>
      <c r="Q25" s="1342"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35"/>
      <c r="Q26" s="1342"/>
      <c r="R26" s="701"/>
      <c r="S26" s="702"/>
      <c r="T26" s="701"/>
      <c r="U26" s="702"/>
      <c r="V26" s="701"/>
      <c r="W26" s="702"/>
      <c r="X26" s="703"/>
      <c r="Y26" s="3735"/>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5"/>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5"/>
      <c r="Q28" s="1351" t="str">
        <f t="shared" si="8"/>
        <v>毗邻道路的类型与等级</v>
      </c>
      <c r="R28" s="705" t="s">
        <v>14</v>
      </c>
      <c r="S28" s="706">
        <f t="shared" si="10"/>
        <v>100</v>
      </c>
      <c r="T28" s="705" t="s">
        <v>14</v>
      </c>
      <c r="U28" s="706">
        <f t="shared" si="11"/>
        <v>100</v>
      </c>
      <c r="V28" s="705" t="s">
        <v>14</v>
      </c>
      <c r="W28" s="706">
        <f t="shared" si="12"/>
        <v>100</v>
      </c>
      <c r="X28" s="1354"/>
      <c r="Y28" s="373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35"/>
      <c r="Q29" s="1351"/>
      <c r="R29" s="705"/>
      <c r="S29" s="706"/>
      <c r="T29" s="705"/>
      <c r="U29" s="706"/>
      <c r="V29" s="705"/>
      <c r="W29" s="706"/>
      <c r="X29" s="1354"/>
      <c r="Y29" s="3735"/>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5"/>
      <c r="Q30" s="1351" t="str">
        <f t="shared" si="8"/>
        <v>土地级别</v>
      </c>
      <c r="R30" s="705" t="s">
        <v>14</v>
      </c>
      <c r="S30" s="706">
        <f t="shared" si="10"/>
        <v>100</v>
      </c>
      <c r="T30" s="705" t="s">
        <v>14</v>
      </c>
      <c r="U30" s="706">
        <f t="shared" si="11"/>
        <v>100</v>
      </c>
      <c r="V30" s="705" t="s">
        <v>14</v>
      </c>
      <c r="W30" s="706">
        <f t="shared" si="12"/>
        <v>100</v>
      </c>
      <c r="X30" s="1354"/>
      <c r="Y30" s="373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5"/>
      <c r="Q31" s="1351">
        <f t="shared" si="8"/>
        <v>111</v>
      </c>
      <c r="R31" s="705" t="s">
        <v>14</v>
      </c>
      <c r="S31" s="706">
        <f t="shared" si="10"/>
        <v>100</v>
      </c>
      <c r="T31" s="705" t="s">
        <v>14</v>
      </c>
      <c r="U31" s="706">
        <f t="shared" si="11"/>
        <v>100</v>
      </c>
      <c r="V31" s="705" t="s">
        <v>14</v>
      </c>
      <c r="W31" s="706">
        <f t="shared" si="12"/>
        <v>100</v>
      </c>
      <c r="X31" s="1354"/>
      <c r="Y31" s="373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92" t="s">
        <v>1693</v>
      </c>
      <c r="Q32" s="1351">
        <f t="shared" si="8"/>
        <v>111</v>
      </c>
      <c r="R32" s="705" t="s">
        <v>14</v>
      </c>
      <c r="S32" s="706">
        <f t="shared" si="10"/>
        <v>100</v>
      </c>
      <c r="T32" s="705" t="s">
        <v>14</v>
      </c>
      <c r="U32" s="706">
        <f t="shared" si="11"/>
        <v>100</v>
      </c>
      <c r="V32" s="705" t="s">
        <v>14</v>
      </c>
      <c r="W32" s="706">
        <f t="shared" si="12"/>
        <v>100</v>
      </c>
      <c r="X32" s="1354"/>
      <c r="Y32" s="3739"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9"/>
      <c r="Q33" s="1351">
        <f t="shared" si="8"/>
        <v>111</v>
      </c>
      <c r="R33" s="708" t="s">
        <v>14</v>
      </c>
      <c r="S33" s="709">
        <f t="shared" si="10"/>
        <v>100</v>
      </c>
      <c r="T33" s="708" t="s">
        <v>14</v>
      </c>
      <c r="U33" s="709">
        <f t="shared" si="11"/>
        <v>100</v>
      </c>
      <c r="V33" s="708" t="s">
        <v>14</v>
      </c>
      <c r="W33" s="709">
        <f t="shared" si="12"/>
        <v>100</v>
      </c>
      <c r="X33" s="710"/>
      <c r="Y33" s="3739"/>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9"/>
      <c r="Q34" s="1351" t="str">
        <f>B34</f>
        <v>宗地面积</v>
      </c>
      <c r="R34" s="705" t="s">
        <v>14</v>
      </c>
      <c r="S34" s="706" t="e">
        <f t="shared" si="10"/>
        <v>#N/A</v>
      </c>
      <c r="T34" s="705" t="s">
        <v>14</v>
      </c>
      <c r="U34" s="706" t="e">
        <f t="shared" si="11"/>
        <v>#N/A</v>
      </c>
      <c r="V34" s="705" t="s">
        <v>14</v>
      </c>
      <c r="W34" s="706" t="e">
        <f t="shared" si="12"/>
        <v>#N/A</v>
      </c>
      <c r="X34" s="1354"/>
      <c r="Y34" s="3739"/>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9"/>
      <c r="Q35" s="1351" t="str">
        <f t="shared" ref="Q35:Q40" si="14">B35</f>
        <v>宗地形状</v>
      </c>
      <c r="R35" s="705" t="s">
        <v>14</v>
      </c>
      <c r="S35" s="706">
        <f t="shared" si="10"/>
        <v>100</v>
      </c>
      <c r="T35" s="705" t="s">
        <v>14</v>
      </c>
      <c r="U35" s="706">
        <f t="shared" si="11"/>
        <v>100</v>
      </c>
      <c r="V35" s="705" t="s">
        <v>14</v>
      </c>
      <c r="W35" s="706">
        <f t="shared" si="12"/>
        <v>100</v>
      </c>
      <c r="X35" s="1354"/>
      <c r="Y35" s="3739"/>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9"/>
      <c r="Q36" s="1351"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9" t="s">
        <v>1693</v>
      </c>
      <c r="Q37" s="1351" t="str">
        <f t="shared" si="14"/>
        <v>工程地质条件</v>
      </c>
      <c r="R37" s="705" t="s">
        <v>14</v>
      </c>
      <c r="S37" s="706">
        <f t="shared" si="10"/>
        <v>100</v>
      </c>
      <c r="T37" s="705" t="s">
        <v>14</v>
      </c>
      <c r="U37" s="706">
        <f t="shared" si="11"/>
        <v>100</v>
      </c>
      <c r="V37" s="705" t="s">
        <v>14</v>
      </c>
      <c r="W37" s="706">
        <f t="shared" si="12"/>
        <v>100</v>
      </c>
      <c r="X37" s="1354"/>
      <c r="Y37" s="3739"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9"/>
      <c r="Q38" s="1351">
        <f t="shared" si="14"/>
        <v>111</v>
      </c>
      <c r="R38" s="705" t="s">
        <v>14</v>
      </c>
      <c r="S38" s="706">
        <f t="shared" si="10"/>
        <v>100</v>
      </c>
      <c r="T38" s="705" t="s">
        <v>14</v>
      </c>
      <c r="U38" s="706">
        <f t="shared" si="11"/>
        <v>100</v>
      </c>
      <c r="V38" s="705" t="s">
        <v>14</v>
      </c>
      <c r="W38" s="706">
        <f t="shared" si="12"/>
        <v>100</v>
      </c>
      <c r="X38" s="1354"/>
      <c r="Y38" s="373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9"/>
      <c r="Q39" s="1351">
        <f t="shared" si="14"/>
        <v>111</v>
      </c>
      <c r="R39" s="705" t="s">
        <v>14</v>
      </c>
      <c r="S39" s="706">
        <f t="shared" si="10"/>
        <v>100</v>
      </c>
      <c r="T39" s="705" t="s">
        <v>14</v>
      </c>
      <c r="U39" s="706">
        <f t="shared" si="11"/>
        <v>100</v>
      </c>
      <c r="V39" s="705" t="s">
        <v>14</v>
      </c>
      <c r="W39" s="706">
        <f t="shared" si="12"/>
        <v>100</v>
      </c>
      <c r="X39" s="1354"/>
      <c r="Y39" s="373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9"/>
      <c r="Q40" s="1351">
        <f t="shared" si="14"/>
        <v>111</v>
      </c>
      <c r="R40" s="708" t="s">
        <v>14</v>
      </c>
      <c r="S40" s="709">
        <f t="shared" si="10"/>
        <v>100</v>
      </c>
      <c r="T40" s="708" t="s">
        <v>14</v>
      </c>
      <c r="U40" s="709">
        <f t="shared" si="11"/>
        <v>100</v>
      </c>
      <c r="V40" s="708" t="s">
        <v>14</v>
      </c>
      <c r="W40" s="709">
        <f t="shared" si="12"/>
        <v>100</v>
      </c>
      <c r="X40" s="710"/>
      <c r="Y40" s="3739"/>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22"/>
      <c r="M41" s="2714"/>
      <c r="N41" s="2714"/>
      <c r="O41" s="2723"/>
      <c r="P41" s="3732" t="str">
        <f>A41</f>
        <v>成交单价</v>
      </c>
      <c r="Q41" s="3732"/>
      <c r="R41" s="3763">
        <f>E41</f>
        <v>0</v>
      </c>
      <c r="S41" s="3763"/>
      <c r="T41" s="3763">
        <f>G41</f>
        <v>0</v>
      </c>
      <c r="U41" s="3763"/>
      <c r="V41" s="3763">
        <f>I41</f>
        <v>0</v>
      </c>
      <c r="W41" s="3763"/>
      <c r="X41" s="690"/>
      <c r="Y41" s="712"/>
      <c r="Z41" s="690"/>
      <c r="AA41" s="690"/>
      <c r="AB41" s="690"/>
      <c r="AC41" s="690"/>
    </row>
    <row r="42" spans="1:31" ht="15.75" thickBot="1">
      <c r="A42" s="437" t="s">
        <v>1790</v>
      </c>
      <c r="B42" s="631"/>
      <c r="C42" s="440" t="e">
        <f>R43</f>
        <v>#DIV/0!</v>
      </c>
      <c r="D42" s="2316" t="s">
        <v>2135</v>
      </c>
      <c r="E42" s="440" t="e">
        <f>R42</f>
        <v>#DIV/0!</v>
      </c>
      <c r="F42" s="2317"/>
      <c r="G42" s="439" t="e">
        <f>T42</f>
        <v>#DIV/0!</v>
      </c>
      <c r="H42" s="2317"/>
      <c r="I42" s="440" t="e">
        <f>V42</f>
        <v>#DIV/0!</v>
      </c>
      <c r="J42" s="2317"/>
      <c r="K42" s="2319">
        <f>F42+H42+J42</f>
        <v>0</v>
      </c>
      <c r="L42" s="2722"/>
      <c r="M42" s="2714"/>
      <c r="N42" s="2714"/>
      <c r="O42" s="2723"/>
      <c r="P42" s="3732" t="str">
        <f>A42</f>
        <v>比较价值（元/平方米）</v>
      </c>
      <c r="Q42" s="3732"/>
      <c r="R42" s="3794" t="e">
        <f>ROUND(PRODUCT(R41,AA7:AA40),0)</f>
        <v>#DIV/0!</v>
      </c>
      <c r="S42" s="3794"/>
      <c r="T42" s="3794" t="e">
        <f>ROUND(PRODUCT(T41,AB7:AB40),0)</f>
        <v>#DIV/0!</v>
      </c>
      <c r="U42" s="3794"/>
      <c r="V42" s="3794" t="e">
        <f>ROUND(PRODUCT(V41,AC7:AC40),0)</f>
        <v>#DIV/0!</v>
      </c>
      <c r="W42" s="3794"/>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2"/>
      <c r="M43" s="2714"/>
      <c r="N43" s="2714"/>
      <c r="O43" s="2723"/>
      <c r="P43" s="3729" t="str">
        <f>A43</f>
        <v>估价对象XX用房的比较价值（楼面单价，元/平方米）</v>
      </c>
      <c r="Q43" s="3730"/>
      <c r="R43" s="3795" t="e">
        <f>ROUND(IF(D42="简单平均",AVERAGE(R42:W42),R42*F42+T42*H42+V42*J42),0)</f>
        <v>#DIV/0!</v>
      </c>
      <c r="S43" s="3795"/>
      <c r="T43" s="3795"/>
      <c r="U43" s="3795"/>
      <c r="V43" s="3795"/>
      <c r="W43" s="379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1878</v>
      </c>
      <c r="B50" s="633" t="s">
        <v>1879</v>
      </c>
      <c r="C50" s="1982" t="s">
        <v>1880</v>
      </c>
      <c r="D50" s="1983" t="s">
        <v>1881</v>
      </c>
      <c r="E50" s="634" t="s">
        <v>1882</v>
      </c>
      <c r="F50" s="635" t="s">
        <v>1883</v>
      </c>
      <c r="G50" s="3747" t="s">
        <v>1884</v>
      </c>
      <c r="H50" s="3796"/>
      <c r="I50" s="1355" t="s">
        <v>1920</v>
      </c>
      <c r="J50" s="1355">
        <f>项目基本情况!F35</f>
        <v>0</v>
      </c>
      <c r="K50" s="1985" t="s">
        <v>1886</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1887</v>
      </c>
      <c r="B51" s="637" t="e">
        <f>C43</f>
        <v>#DIV/0!</v>
      </c>
      <c r="C51" s="638">
        <v>1</v>
      </c>
      <c r="D51" s="944">
        <v>1</v>
      </c>
      <c r="E51" s="638">
        <f>'数据-汇总表'!E8+'数据-汇总表'!E9</f>
        <v>30243.989999999998</v>
      </c>
      <c r="F51" s="639" t="e">
        <f t="shared" ref="F51:F60" si="15">ROUND(B51*E51/10000,0)</f>
        <v>#DIV/0!</v>
      </c>
      <c r="G51" s="3743"/>
      <c r="H51" s="373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1888</v>
      </c>
      <c r="B52" s="218" t="e">
        <f>ROUND($C$43*C52*D52,0)</f>
        <v>#DIV/0!</v>
      </c>
      <c r="C52" s="171">
        <f t="shared" ref="C52:C60" si="16">IF($C$50="北京市系数",I52,J52)</f>
        <v>0.5</v>
      </c>
      <c r="D52" s="945">
        <v>0.25</v>
      </c>
      <c r="E52" s="642"/>
      <c r="F52" s="639" t="e">
        <f t="shared" si="15"/>
        <v>#DIV/0!</v>
      </c>
      <c r="G52" s="3004" t="s">
        <v>1889</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1890</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1891</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1892</v>
      </c>
      <c r="B56" s="218" t="e">
        <f t="shared" si="17"/>
        <v>#DIV/0!</v>
      </c>
      <c r="C56" s="171">
        <f t="shared" si="16"/>
        <v>0.2</v>
      </c>
      <c r="D56" s="945">
        <v>0.25</v>
      </c>
      <c r="E56" s="217">
        <f>'数据-汇总表'!E11</f>
        <v>0</v>
      </c>
      <c r="F56" s="639" t="e">
        <f t="shared" si="15"/>
        <v>#DIV/0!</v>
      </c>
      <c r="G56" s="1986" t="s">
        <v>1893</v>
      </c>
      <c r="H56" s="887" t="str">
        <f>项目基本情况!C37</f>
        <v>九级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1894</v>
      </c>
      <c r="B57" s="218" t="e">
        <f t="shared" si="17"/>
        <v>#DIV/0!</v>
      </c>
      <c r="C57" s="171">
        <f t="shared" si="16"/>
        <v>0.2</v>
      </c>
      <c r="D57" s="945">
        <v>0.25</v>
      </c>
      <c r="E57" s="217">
        <f>'数据-汇总表'!E12</f>
        <v>0</v>
      </c>
      <c r="F57" s="639" t="e">
        <f t="shared" si="15"/>
        <v>#DIV/0!</v>
      </c>
      <c r="G57" s="892" t="s">
        <v>1895</v>
      </c>
      <c r="H57" s="887" t="str">
        <f>IF(G57="商业",项目基本情况!B37,IF(G57="办公",项目基本情况!C37,IF(G57="住宅",项目基本情况!D37,项目基本情况!E37)))</f>
        <v>九级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1896</v>
      </c>
      <c r="B58" s="218" t="e">
        <f t="shared" si="17"/>
        <v>#DIV/0!</v>
      </c>
      <c r="C58" s="171">
        <f t="shared" si="16"/>
        <v>0.1</v>
      </c>
      <c r="D58" s="945">
        <v>0.25</v>
      </c>
      <c r="E58" s="217">
        <f>'数据-汇总表'!E13</f>
        <v>0</v>
      </c>
      <c r="F58" s="639" t="e">
        <f t="shared" si="15"/>
        <v>#DIV/0!</v>
      </c>
      <c r="G58" s="892" t="s">
        <v>1897</v>
      </c>
      <c r="H58" s="887" t="str">
        <f>IF(G58="商业",项目基本情况!B37,IF(G58="办公",项目基本情况!C37,IF(G58="住宅",项目基本情况!D37,项目基本情况!E37)))</f>
        <v>九级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1898</v>
      </c>
      <c r="B59" s="218" t="e">
        <f t="shared" si="17"/>
        <v>#DIV/0!</v>
      </c>
      <c r="C59" s="171">
        <f t="shared" si="16"/>
        <v>0.1</v>
      </c>
      <c r="D59" s="945">
        <v>0.25</v>
      </c>
      <c r="E59" s="217">
        <f>'数据-汇总表'!E14</f>
        <v>0</v>
      </c>
      <c r="F59" s="639" t="e">
        <f t="shared" si="15"/>
        <v>#DIV/0!</v>
      </c>
      <c r="G59" s="1986" t="s">
        <v>1889</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1899</v>
      </c>
      <c r="B60" s="218" t="e">
        <f t="shared" si="17"/>
        <v>#DIV/0!</v>
      </c>
      <c r="C60" s="171">
        <f t="shared" si="16"/>
        <v>0.1</v>
      </c>
      <c r="D60" s="945">
        <v>0.25</v>
      </c>
      <c r="E60" s="217">
        <f>'数据-汇总表'!E15</f>
        <v>0</v>
      </c>
      <c r="F60" s="639" t="e">
        <f t="shared" si="15"/>
        <v>#DIV/0!</v>
      </c>
      <c r="G60" s="1987" t="s">
        <v>1893</v>
      </c>
      <c r="H60" s="897" t="str">
        <f>项目基本情况!C37</f>
        <v>九级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1900</v>
      </c>
      <c r="B61" s="644" t="s">
        <v>22</v>
      </c>
      <c r="C61" s="644" t="s">
        <v>23</v>
      </c>
      <c r="D61" s="644" t="s">
        <v>392</v>
      </c>
      <c r="E61" s="644">
        <f>IF(B41="楼面地价",SUM(E51:E60),'数据-汇总表'!D3)</f>
        <v>17362.38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1795</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1901</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1685</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1687</v>
      </c>
      <c r="B83" s="477" t="s">
        <v>1826</v>
      </c>
      <c r="C83" s="522" t="s">
        <v>1718</v>
      </c>
      <c r="D83" s="522" t="s">
        <v>1719</v>
      </c>
      <c r="E83" s="522" t="s">
        <v>1720</v>
      </c>
      <c r="F83" s="522" t="s">
        <v>1721</v>
      </c>
      <c r="G83" s="522" t="s">
        <v>1722</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1723</v>
      </c>
      <c r="C85" s="527" t="s">
        <v>1718</v>
      </c>
      <c r="D85" s="527" t="s">
        <v>1719</v>
      </c>
      <c r="E85" s="527" t="s">
        <v>1720</v>
      </c>
      <c r="F85" s="527" t="s">
        <v>1721</v>
      </c>
      <c r="G85" s="527" t="s">
        <v>1722</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1812</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1870</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1911</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1913</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1914</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31" zoomScale="85" zoomScaleNormal="100" zoomScaleSheetLayoutView="85" zoomScalePageLayoutView="80" workbookViewId="0">
      <selection activeCell="J19" sqref="J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3697</v>
      </c>
      <c r="D1" s="1746"/>
      <c r="E1" s="1746"/>
      <c r="F1" s="1748" t="s">
        <v>1261</v>
      </c>
      <c r="G1" s="1560" t="s">
        <v>3689</v>
      </c>
      <c r="H1" s="1749" t="str">
        <f>IF(G1="现房","——","估价对象范围")</f>
        <v>——</v>
      </c>
      <c r="I1" s="1750"/>
    </row>
    <row r="2" spans="1:12" ht="21.75" customHeight="1" thickBot="1">
      <c r="A2" s="3640" t="str">
        <f>项目基本情况!S2</f>
        <v>北京市房地产</v>
      </c>
      <c r="B2" s="3641"/>
      <c r="C2" s="3641"/>
      <c r="D2" s="3641"/>
      <c r="E2" s="3641"/>
      <c r="F2" s="3641"/>
      <c r="G2" s="3641"/>
      <c r="H2" s="3641"/>
      <c r="I2" s="3642"/>
    </row>
    <row r="3" spans="1:12" ht="12.75">
      <c r="A3" s="3644" t="s">
        <v>1262</v>
      </c>
      <c r="B3" s="3645"/>
      <c r="C3" s="3645"/>
      <c r="D3" s="3645"/>
      <c r="E3" s="3645"/>
      <c r="F3" s="3645"/>
      <c r="G3" s="3645"/>
      <c r="H3" s="3645"/>
      <c r="I3" s="3645"/>
    </row>
    <row r="4" spans="1:12" ht="14.25">
      <c r="A4" s="1753" t="s">
        <v>1263</v>
      </c>
      <c r="B4" s="1754" t="s">
        <v>1264</v>
      </c>
      <c r="C4" s="1755" t="s">
        <v>3698</v>
      </c>
      <c r="D4" s="1755" t="s">
        <v>3661</v>
      </c>
      <c r="E4" s="3646" t="s">
        <v>1265</v>
      </c>
      <c r="F4" s="3647"/>
      <c r="G4" s="3647"/>
      <c r="H4" s="3647"/>
      <c r="I4" s="3648"/>
      <c r="K4" s="146" t="str">
        <f>IF(ISNUMBER(FIND("比较法",结果表13号楼!C4)),"比较法",IF(ISNUMBER(FIND("成本法",结果表13号楼!C4)),"成本法",IF(ISNUMBER(FIND("假设开发法",结果表13号楼!C4)),"假设开发法",IF(ISNUMBER(FIND("收益法",结果表13号楼!C4)),"收益法","基准地价系数修正法"))))</f>
        <v>比较法</v>
      </c>
      <c r="L4" s="146" t="str">
        <f>IF(ISNUMBER(FIND("比较法",结果表13号楼!D4)),"比较法",IF(ISNUMBER(FIND("成本法",结果表13号楼!D4)),"成本法",IF(ISNUMBER(FIND("假设开发法",结果表13号楼!D4)),"假设开发法",IF(ISNUMBER(FIND("收益法",结果表13号楼!D4)),"收益法","基准地价系数修正法"))))</f>
        <v>收益法</v>
      </c>
    </row>
    <row r="5" spans="1:12" ht="12.75">
      <c r="A5" s="3620" t="s">
        <v>1266</v>
      </c>
      <c r="B5" s="3607">
        <v>25</v>
      </c>
      <c r="C5" s="3623"/>
      <c r="D5" s="3643"/>
      <c r="E5" s="131" t="s">
        <v>1267</v>
      </c>
      <c r="F5" s="1756"/>
      <c r="G5" s="1756"/>
      <c r="H5" s="1756"/>
      <c r="I5" s="1372"/>
    </row>
    <row r="6" spans="1:12" ht="12.75">
      <c r="A6" s="3620"/>
      <c r="B6" s="3607"/>
      <c r="C6" s="3624"/>
      <c r="D6" s="3643"/>
      <c r="E6" s="131" t="s">
        <v>1268</v>
      </c>
      <c r="F6" s="1756"/>
      <c r="G6" s="1756"/>
      <c r="H6" s="1756"/>
      <c r="I6" s="1372"/>
    </row>
    <row r="7" spans="1:12" ht="12.75">
      <c r="A7" s="3620"/>
      <c r="B7" s="3607"/>
      <c r="C7" s="3625"/>
      <c r="D7" s="3643"/>
      <c r="E7" s="131" t="s">
        <v>1269</v>
      </c>
      <c r="F7" s="1756"/>
      <c r="G7" s="1756"/>
      <c r="H7" s="1756"/>
      <c r="I7" s="1372"/>
    </row>
    <row r="8" spans="1:12" ht="12.75">
      <c r="A8" s="3620" t="s">
        <v>1270</v>
      </c>
      <c r="B8" s="3607">
        <v>15</v>
      </c>
      <c r="C8" s="3623"/>
      <c r="D8" s="3643"/>
      <c r="E8" s="131" t="s">
        <v>1271</v>
      </c>
      <c r="F8" s="1756"/>
      <c r="G8" s="1756"/>
      <c r="H8" s="1756"/>
      <c r="I8" s="1372"/>
    </row>
    <row r="9" spans="1:12" ht="12.75">
      <c r="A9" s="3620"/>
      <c r="B9" s="3607"/>
      <c r="C9" s="3625"/>
      <c r="D9" s="3643"/>
      <c r="E9" s="131" t="s">
        <v>1272</v>
      </c>
      <c r="F9" s="1756"/>
      <c r="G9" s="1756"/>
      <c r="H9" s="1756"/>
      <c r="I9" s="1372"/>
    </row>
    <row r="10" spans="1:12" ht="12.75">
      <c r="A10" s="3620" t="s">
        <v>1273</v>
      </c>
      <c r="B10" s="3607">
        <v>15</v>
      </c>
      <c r="C10" s="3623"/>
      <c r="D10" s="3643"/>
      <c r="E10" s="131" t="s">
        <v>1274</v>
      </c>
      <c r="F10" s="1756"/>
      <c r="G10" s="1756"/>
      <c r="H10" s="1756"/>
      <c r="I10" s="1372"/>
    </row>
    <row r="11" spans="1:12" ht="12.75">
      <c r="A11" s="3620"/>
      <c r="B11" s="3607"/>
      <c r="C11" s="3625"/>
      <c r="D11" s="3643"/>
      <c r="E11" s="131" t="s">
        <v>1275</v>
      </c>
      <c r="F11" s="1756"/>
      <c r="G11" s="1756"/>
      <c r="H11" s="1756"/>
      <c r="I11" s="1372"/>
    </row>
    <row r="12" spans="1:12" ht="12.75">
      <c r="A12" s="3620" t="s">
        <v>1276</v>
      </c>
      <c r="B12" s="3607">
        <v>15</v>
      </c>
      <c r="C12" s="3623"/>
      <c r="D12" s="3643"/>
      <c r="E12" s="131" t="s">
        <v>1277</v>
      </c>
      <c r="F12" s="1756"/>
      <c r="G12" s="1756"/>
      <c r="H12" s="1756"/>
      <c r="I12" s="1372"/>
    </row>
    <row r="13" spans="1:12" ht="12.75">
      <c r="A13" s="3620"/>
      <c r="B13" s="3607"/>
      <c r="C13" s="3625"/>
      <c r="D13" s="3643"/>
      <c r="E13" s="131" t="s">
        <v>1278</v>
      </c>
      <c r="F13" s="1756"/>
      <c r="G13" s="1756"/>
      <c r="H13" s="1756"/>
      <c r="I13" s="1372"/>
    </row>
    <row r="14" spans="1:12" ht="12.75">
      <c r="A14" s="3620" t="s">
        <v>1279</v>
      </c>
      <c r="B14" s="3607">
        <v>30</v>
      </c>
      <c r="C14" s="3623">
        <v>7</v>
      </c>
      <c r="D14" s="3643">
        <v>3</v>
      </c>
      <c r="E14" s="131" t="s">
        <v>1280</v>
      </c>
      <c r="F14" s="1756"/>
      <c r="G14" s="1756"/>
      <c r="H14" s="1756"/>
      <c r="I14" s="1372"/>
    </row>
    <row r="15" spans="1:12" ht="12.75">
      <c r="A15" s="3620"/>
      <c r="B15" s="3607"/>
      <c r="C15" s="3624"/>
      <c r="D15" s="3643"/>
      <c r="E15" s="131" t="s">
        <v>1281</v>
      </c>
      <c r="F15" s="1756"/>
      <c r="G15" s="1756"/>
      <c r="H15" s="1756"/>
      <c r="I15" s="1372"/>
    </row>
    <row r="16" spans="1:12" ht="12.75">
      <c r="A16" s="3620"/>
      <c r="B16" s="3607"/>
      <c r="C16" s="3625"/>
      <c r="D16" s="3643"/>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30" t="s">
        <v>2128</v>
      </c>
      <c r="F18" s="3631"/>
      <c r="G18" s="3631"/>
      <c r="H18" s="3631"/>
      <c r="I18" s="3631"/>
      <c r="K18" s="302" t="s">
        <v>1287</v>
      </c>
      <c r="L18" s="302">
        <f>IF(C1="",'数据-汇总表'!E3,SUMIF(项目类型,C1,'数据-汇总表'!E17:E26)+SUMIF(项目类型,C1,'数据-汇总表'!I17:I26))</f>
        <v>25292.940000000002</v>
      </c>
      <c r="M18" s="302">
        <f>IF(C1="",'数据-汇总表'!E3,SUMIF(项目类型,C1,'数据-汇总表'!E17:E26))</f>
        <v>25292.940000000002</v>
      </c>
    </row>
    <row r="19" spans="1:36" ht="15">
      <c r="A19" s="1760" t="s">
        <v>1288</v>
      </c>
      <c r="B19" s="1761" t="s">
        <v>1289</v>
      </c>
      <c r="C19" s="134">
        <f ca="1">SUMIF(INDIRECT("'"&amp;C4&amp;"'"&amp;"!A:A"),结果表13号楼!B19,INDIRECT("'"&amp;C4&amp;"'"&amp;"!B:B"))</f>
        <v>63915</v>
      </c>
      <c r="D19" s="135">
        <f ca="1">SUMIF(INDIRECT("'"&amp;D4&amp;"'"&amp;"!A:A"),结果表13号楼!B19,INDIRECT("'"&amp;D4&amp;"'"&amp;"!B:B"))</f>
        <v>41533</v>
      </c>
      <c r="E19" s="1760" t="s">
        <v>1290</v>
      </c>
      <c r="F19" s="1761" t="s">
        <v>1289</v>
      </c>
      <c r="G19" s="136">
        <f ca="1">ROUND(C19*$C$18+D19*$D$18,0)</f>
        <v>57200</v>
      </c>
      <c r="H19" s="1762" t="s">
        <v>1291</v>
      </c>
      <c r="I19" s="129"/>
      <c r="J19" s="725">
        <v>57036</v>
      </c>
      <c r="K19" s="302" t="s">
        <v>1292</v>
      </c>
      <c r="L19" s="302">
        <f>IF(C1="",'数据-汇总表'!D3,SUMIF(项目类型,C1,'数据-汇总表'!D17:D26)+SUMIF(项目类型,C1,'数据-汇总表'!H17:H27))</f>
        <v>11939.52</v>
      </c>
      <c r="M19" s="302">
        <f>IF(C1="",'数据-汇总表'!D3,SUMIF(项目类型,C1,'数据-汇总表'!D17:D26))</f>
        <v>11939.52</v>
      </c>
    </row>
    <row r="20" spans="1:36" ht="15">
      <c r="A20" s="1763"/>
      <c r="B20" s="1026" t="s">
        <v>1293</v>
      </c>
      <c r="C20" s="137">
        <f ca="1">SUMIF(INDIRECT("'"&amp;C4&amp;"'"&amp;"!A:A"),结果表13号楼!B20,INDIRECT("'"&amp;C4&amp;"'"&amp;"!B:B"))</f>
        <v>25270</v>
      </c>
      <c r="D20" s="138">
        <f ca="1">SUMIF(INDIRECT("'"&amp;D4&amp;"'"&amp;"!A:A"),结果表13号楼!B20,INDIRECT("'"&amp;D4&amp;"'"&amp;"!B:B"))</f>
        <v>16421</v>
      </c>
      <c r="E20" s="1763"/>
      <c r="F20" s="1026" t="s">
        <v>1293</v>
      </c>
      <c r="G20" s="139">
        <f ca="1">ROUND(C20*$C$18+D20*$D$18,0)</f>
        <v>22615</v>
      </c>
      <c r="H20" s="808" t="s">
        <v>1294</v>
      </c>
      <c r="I20" s="129"/>
      <c r="J20" s="725">
        <f>ROUND(J19*10000/L18,0)</f>
        <v>22550</v>
      </c>
    </row>
    <row r="21" spans="1:36" ht="15" customHeight="1" thickBot="1">
      <c r="A21" s="828"/>
      <c r="B21" s="1764" t="s">
        <v>1295</v>
      </c>
      <c r="C21" s="719">
        <f ca="1">ROUND(C19*10000/L19,0)</f>
        <v>53532</v>
      </c>
      <c r="D21" s="720">
        <f ca="1">ROUND(D19*10000/L19,0)</f>
        <v>34786</v>
      </c>
      <c r="E21" s="828"/>
      <c r="F21" s="1764" t="s">
        <v>1295</v>
      </c>
      <c r="G21" s="140">
        <f ca="1">ROUND(G19*10000/L19,0)</f>
        <v>47908</v>
      </c>
      <c r="H21" s="1765" t="s">
        <v>1294</v>
      </c>
      <c r="I21" s="129"/>
    </row>
    <row r="22" spans="1:36" ht="15" thickBot="1">
      <c r="A22" s="1687" t="s">
        <v>1296</v>
      </c>
      <c r="B22" s="1766"/>
      <c r="C22" s="1767"/>
      <c r="D22" s="721">
        <f ca="1">IF(C19&lt;D19,D19/C19-1,C19/D19-1)</f>
        <v>0.53889678087304071</v>
      </c>
      <c r="E22" s="129"/>
      <c r="F22" s="129"/>
      <c r="G22" s="129"/>
      <c r="H22" s="129"/>
      <c r="I22" s="129"/>
    </row>
    <row r="23" spans="1:36" ht="13.5" thickBot="1">
      <c r="A23" s="1746"/>
      <c r="B23" s="1746"/>
      <c r="C23" s="1746"/>
      <c r="D23" s="1746"/>
      <c r="E23" s="129"/>
      <c r="F23" s="129"/>
      <c r="G23" s="129"/>
      <c r="H23" s="129"/>
      <c r="I23" s="129"/>
    </row>
    <row r="24" spans="1:36" ht="14.25">
      <c r="A24" s="3614" t="s">
        <v>1297</v>
      </c>
      <c r="B24" s="1761" t="s">
        <v>1289</v>
      </c>
      <c r="C24" s="136">
        <f>IF(B30=0,0,D30)</f>
        <v>0</v>
      </c>
      <c r="D24" s="1768"/>
      <c r="E24" s="129"/>
      <c r="F24" s="129"/>
      <c r="G24" s="129"/>
      <c r="H24" s="129"/>
      <c r="I24" s="129"/>
    </row>
    <row r="25" spans="1:36" ht="14.25">
      <c r="A25" s="3615"/>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57200</v>
      </c>
      <c r="D32" s="1774" t="s">
        <v>3403</v>
      </c>
      <c r="E32" s="129"/>
      <c r="F32" s="129"/>
      <c r="G32" s="129"/>
      <c r="H32" s="129"/>
      <c r="I32" s="129"/>
    </row>
    <row r="33" spans="1:15" ht="15">
      <c r="A33" s="786" t="s">
        <v>1304</v>
      </c>
      <c r="B33" s="1775"/>
      <c r="C33" s="1776" t="s">
        <v>3690</v>
      </c>
      <c r="D33" s="1777" t="s">
        <v>3659</v>
      </c>
      <c r="E33" s="1778" t="s">
        <v>1305</v>
      </c>
      <c r="F33" s="1779" t="str">
        <f>IF(D32="楼面单价","取值（单价）","取值（总价）")</f>
        <v>取值（总价）</v>
      </c>
      <c r="G33" s="129"/>
      <c r="H33" s="129"/>
      <c r="I33" s="129"/>
    </row>
    <row r="34" spans="1:15" ht="15">
      <c r="A34" s="1780"/>
      <c r="B34" s="1781" t="s">
        <v>1306</v>
      </c>
      <c r="C34" s="148">
        <f ca="1">IF(C33="自定义",F34,C32-C35)</f>
        <v>32032</v>
      </c>
      <c r="D34" s="861">
        <f ca="1">IF(C33="自定义",ROUND(C34/C32,3),IF(C33="收益比率",SUMIF(INDIRECT("'"&amp;D33&amp;"'"&amp;"!b:b"),"土地收益比率",INDIRECT("'"&amp;D33&amp;"'"&amp;"!c:c")),SUMIF(INDIRECT("'"&amp;D33&amp;"'"&amp;"!b:b"),"土地成本比率",INDIRECT("'"&amp;D33&amp;"'"&amp;"!c:c"))))</f>
        <v>0.56000000000000005</v>
      </c>
      <c r="E34" s="1782" t="s">
        <v>1307</v>
      </c>
      <c r="F34" s="1329"/>
      <c r="G34" s="129"/>
      <c r="H34" s="129"/>
      <c r="I34" s="129"/>
    </row>
    <row r="35" spans="1:15" ht="15.75" thickBot="1">
      <c r="A35" s="1783"/>
      <c r="B35" s="1784" t="s">
        <v>1308</v>
      </c>
      <c r="C35" s="1170">
        <f ca="1">IF(C33="自定义",F35,ROUND(C32*D35,0))</f>
        <v>25168</v>
      </c>
      <c r="D35" s="1171">
        <f ca="1">IF(C33="自定义",ROUND(C35/C32,3),IF(C33="收益比率",SUMIF(INDIRECT("'"&amp;D33&amp;"'"&amp;"!b:b"),"建筑物收益比率",INDIRECT("'"&amp;D33&amp;"'"&amp;"!c:c")),SUMIF(INDIRECT("'"&amp;D33&amp;"'"&amp;"!b:b"),"建筑物成本比率",INDIRECT("'"&amp;D33&amp;"'"&amp;"!c:c"))))</f>
        <v>0.44</v>
      </c>
      <c r="E35" s="1785" t="s">
        <v>1309</v>
      </c>
      <c r="F35" s="154"/>
      <c r="G35" s="129"/>
      <c r="H35" s="129"/>
      <c r="I35" s="129"/>
    </row>
    <row r="36" spans="1:15" ht="15.75" thickBot="1">
      <c r="A36" s="3634" t="s">
        <v>1310</v>
      </c>
      <c r="B36" s="1786" t="s">
        <v>1311</v>
      </c>
      <c r="C36" s="145"/>
      <c r="D36" s="1787"/>
      <c r="E36" s="1788"/>
      <c r="F36" s="1789"/>
      <c r="G36" s="129"/>
      <c r="H36" s="129"/>
      <c r="I36" s="129"/>
    </row>
    <row r="37" spans="1:15" ht="15.75" thickBot="1">
      <c r="A37" s="3635"/>
      <c r="B37" s="1673" t="s">
        <v>1312</v>
      </c>
      <c r="C37" s="147"/>
      <c r="D37" s="1139"/>
      <c r="E37" s="1139"/>
      <c r="F37" s="1789"/>
      <c r="G37" s="129"/>
      <c r="H37" s="129"/>
      <c r="I37" s="129"/>
    </row>
    <row r="38" spans="1:15" ht="15.75" thickBot="1">
      <c r="A38" s="3636"/>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11" t="s">
        <v>1324</v>
      </c>
      <c r="B45" s="3612"/>
      <c r="C45" s="3613"/>
      <c r="D45" s="155">
        <f ca="1">ROUND(H101*F45,0)</f>
        <v>57200</v>
      </c>
      <c r="E45" s="156" t="s">
        <v>1325</v>
      </c>
      <c r="F45" s="157">
        <v>1</v>
      </c>
      <c r="G45" s="158" t="s">
        <v>1326</v>
      </c>
      <c r="H45" s="129"/>
      <c r="I45" s="129"/>
      <c r="J45" s="3689" t="s">
        <v>1327</v>
      </c>
      <c r="K45" s="3689"/>
      <c r="L45" s="3689"/>
      <c r="M45" s="3689"/>
      <c r="N45" s="3689"/>
      <c r="O45" s="3689"/>
    </row>
    <row r="46" spans="1:15" ht="14.25" customHeight="1">
      <c r="A46" s="3608" t="s">
        <v>1328</v>
      </c>
      <c r="B46" s="3609"/>
      <c r="C46" s="3609"/>
      <c r="D46" s="3609"/>
      <c r="E46" s="3609"/>
      <c r="F46" s="3609"/>
      <c r="G46" s="3610"/>
      <c r="H46" s="1805"/>
      <c r="I46" s="159"/>
      <c r="J46" s="3484">
        <v>1</v>
      </c>
      <c r="K46" s="3670" t="s">
        <v>1329</v>
      </c>
      <c r="L46" s="3670"/>
      <c r="M46" s="3690"/>
      <c r="N46" s="3690"/>
      <c r="O46" s="3690"/>
    </row>
    <row r="47" spans="1:15" ht="12" customHeight="1">
      <c r="A47" s="160" t="s">
        <v>1330</v>
      </c>
      <c r="B47" s="161"/>
      <c r="C47" s="162"/>
      <c r="D47" s="1087" t="s">
        <v>1331</v>
      </c>
      <c r="E47" s="302" t="s">
        <v>1332</v>
      </c>
      <c r="F47" s="163" t="s">
        <v>1333</v>
      </c>
      <c r="G47" s="2545" t="s">
        <v>1334</v>
      </c>
      <c r="H47" s="2546"/>
      <c r="I47" s="159"/>
      <c r="J47" s="3484">
        <v>2</v>
      </c>
      <c r="K47" s="3670" t="s">
        <v>1335</v>
      </c>
      <c r="L47" s="3670"/>
      <c r="M47" s="3691">
        <f>'数据-取费表'!B2</f>
        <v>45372</v>
      </c>
      <c r="N47" s="3691"/>
      <c r="O47" s="3691"/>
    </row>
    <row r="48" spans="1:15" ht="25.5">
      <c r="A48" s="3639" t="s">
        <v>1336</v>
      </c>
      <c r="B48" s="3622"/>
      <c r="C48" s="3622"/>
      <c r="D48" s="3486">
        <f ca="1">IF(H48="情况1",0,IF(H48="情况2",D52,IF(H48="情况3",D53,IF(H48="情况4",D54))))</f>
        <v>2996</v>
      </c>
      <c r="E48" s="3475" t="str">
        <f>IF(H48="情况4","(销售额-原购置价)×税（费）率","销售额×税（费）率")</f>
        <v>销售额×税（费）率</v>
      </c>
      <c r="F48" s="2547">
        <f>IF(H48="情况1","免征",'数据-取费表'!B41)</f>
        <v>5.5000000000000007E-2</v>
      </c>
      <c r="G48" s="2548" t="s">
        <v>1337</v>
      </c>
      <c r="H48" s="2549" t="s">
        <v>3724</v>
      </c>
      <c r="I48" s="1805"/>
      <c r="J48" s="3484">
        <v>3</v>
      </c>
      <c r="K48" s="3670" t="s">
        <v>1338</v>
      </c>
      <c r="L48" s="3670"/>
      <c r="M48" s="3692">
        <f ca="1">H101</f>
        <v>57200</v>
      </c>
      <c r="N48" s="3692"/>
      <c r="O48" s="3692"/>
    </row>
    <row r="49" spans="1:35" ht="25.5" customHeight="1">
      <c r="A49" s="3479" t="s">
        <v>1339</v>
      </c>
      <c r="B49" s="3606" t="s">
        <v>1340</v>
      </c>
      <c r="C49" s="3606"/>
      <c r="D49" s="1589">
        <v>0</v>
      </c>
      <c r="E49" s="324" t="s">
        <v>1341</v>
      </c>
      <c r="F49" s="3467" t="s">
        <v>28</v>
      </c>
      <c r="G49" s="3676"/>
      <c r="H49" s="2309" t="s">
        <v>2131</v>
      </c>
      <c r="I49" s="2310"/>
      <c r="J49" s="3484">
        <v>4</v>
      </c>
      <c r="K49" s="3670" t="str">
        <f>IF(项目基本情况!E8="房地产抵押价值","房地产抵押价值","抵押担保权已注销时的房地产抵押价值")</f>
        <v>房地产抵押价值</v>
      </c>
      <c r="L49" s="3670"/>
      <c r="M49" s="3692">
        <f ca="1">IF(项目基本情况!E8="房地产抵押价值",H107,H109)</f>
        <v>57200</v>
      </c>
      <c r="N49" s="3692"/>
      <c r="O49" s="3692"/>
    </row>
    <row r="50" spans="1:35" ht="25.5" customHeight="1">
      <c r="A50" s="2550"/>
      <c r="B50" s="3606" t="s">
        <v>1342</v>
      </c>
      <c r="C50" s="3606"/>
      <c r="D50" s="2551"/>
      <c r="E50" s="332"/>
      <c r="F50" s="3467"/>
      <c r="G50" s="3677"/>
      <c r="H50" s="2311" t="s">
        <v>2132</v>
      </c>
      <c r="I50" s="2310"/>
      <c r="J50" s="3689" t="s">
        <v>1343</v>
      </c>
      <c r="K50" s="3689"/>
      <c r="L50" s="3689"/>
      <c r="M50" s="3689"/>
      <c r="N50" s="3689"/>
      <c r="O50" s="3689"/>
    </row>
    <row r="51" spans="1:35" ht="20.45" customHeight="1">
      <c r="A51" s="2552"/>
      <c r="B51" s="3606" t="s">
        <v>1344</v>
      </c>
      <c r="C51" s="3606"/>
      <c r="D51" s="1087"/>
      <c r="E51" s="327"/>
      <c r="F51" s="3467"/>
      <c r="G51" s="3678"/>
      <c r="H51" s="2311" t="s">
        <v>2133</v>
      </c>
      <c r="I51" s="2310"/>
      <c r="J51" s="3483" t="s">
        <v>1345</v>
      </c>
      <c r="K51" s="3670" t="s">
        <v>1346</v>
      </c>
      <c r="L51" s="3670"/>
      <c r="M51" s="3483" t="s">
        <v>1347</v>
      </c>
      <c r="N51" s="3483" t="s">
        <v>1348</v>
      </c>
      <c r="O51" s="3483" t="s">
        <v>1349</v>
      </c>
    </row>
    <row r="52" spans="1:35" ht="24" customHeight="1">
      <c r="A52" s="3474" t="s">
        <v>1350</v>
      </c>
      <c r="B52" s="3606" t="s">
        <v>1351</v>
      </c>
      <c r="C52" s="3606"/>
      <c r="D52" s="1087">
        <f ca="1">ROUND(D45*'数据-取费表'!B41/(1+'数据-取费表'!C42),0)</f>
        <v>2996</v>
      </c>
      <c r="E52" s="3475" t="s">
        <v>1352</v>
      </c>
      <c r="F52" s="2553">
        <f>'数据-取费表'!B41</f>
        <v>5.5000000000000007E-2</v>
      </c>
      <c r="G52" s="2554"/>
      <c r="H52" s="2543"/>
      <c r="I52" s="1806"/>
      <c r="J52" s="3484">
        <v>1</v>
      </c>
      <c r="K52" s="3671" t="s">
        <v>1353</v>
      </c>
      <c r="L52" s="3671"/>
      <c r="M52" s="2524">
        <f ca="1">D48</f>
        <v>2996</v>
      </c>
      <c r="N52" s="3484" t="str">
        <f>E48</f>
        <v>销售额×税（费）率</v>
      </c>
      <c r="O52" s="2525">
        <f>F48</f>
        <v>5.5000000000000007E-2</v>
      </c>
      <c r="P52" s="725">
        <f ca="1">M52</f>
        <v>2996</v>
      </c>
    </row>
    <row r="53" spans="1:35" ht="12" customHeight="1">
      <c r="A53" s="3474" t="s">
        <v>1354</v>
      </c>
      <c r="B53" s="3632" t="s">
        <v>2288</v>
      </c>
      <c r="C53" s="3633"/>
      <c r="D53" s="1087">
        <f ca="1">ROUND(D45*'数据-取费表'!B41/(1+'数据-取费表'!C42),0)</f>
        <v>2996</v>
      </c>
      <c r="E53" s="3475" t="s">
        <v>1352</v>
      </c>
      <c r="F53" s="2553">
        <f>'数据-取费表'!B41</f>
        <v>5.5000000000000007E-2</v>
      </c>
      <c r="G53" s="2554"/>
      <c r="H53" s="2543"/>
      <c r="I53" s="1806"/>
      <c r="J53" s="3484">
        <v>2</v>
      </c>
      <c r="K53" s="3671" t="s">
        <v>1355</v>
      </c>
      <c r="L53" s="3671"/>
      <c r="M53" s="2524">
        <f t="shared" ref="M53:O54" ca="1" si="0">D55</f>
        <v>29</v>
      </c>
      <c r="N53" s="3484" t="str">
        <f t="shared" si="0"/>
        <v>销售额×税（费）率</v>
      </c>
      <c r="O53" s="2525">
        <f t="shared" si="0"/>
        <v>5.0000000000000001E-4</v>
      </c>
      <c r="P53" s="725">
        <f ca="1">M53</f>
        <v>29</v>
      </c>
    </row>
    <row r="54" spans="1:35" ht="12" customHeight="1">
      <c r="A54" s="3474" t="s">
        <v>1356</v>
      </c>
      <c r="B54" s="3632" t="s">
        <v>2289</v>
      </c>
      <c r="C54" s="3633"/>
      <c r="D54" s="1087">
        <f ca="1">C68</f>
        <v>2996</v>
      </c>
      <c r="E54" s="327" t="s">
        <v>1357</v>
      </c>
      <c r="F54" s="2553">
        <f>'数据-取费表'!B41</f>
        <v>5.5000000000000007E-2</v>
      </c>
      <c r="G54" s="2554"/>
      <c r="H54" s="2555"/>
      <c r="I54" s="1806"/>
      <c r="J54" s="3484">
        <v>3</v>
      </c>
      <c r="K54" s="3671" t="s">
        <v>1358</v>
      </c>
      <c r="L54" s="3671"/>
      <c r="M54" s="2524">
        <f t="shared" ca="1" si="0"/>
        <v>32427</v>
      </c>
      <c r="N54" s="3484" t="str">
        <f t="shared" si="0"/>
        <v>增值额×税（费）率</v>
      </c>
      <c r="O54" s="2526" t="str">
        <f t="shared" si="0"/>
        <v>——</v>
      </c>
      <c r="P54" s="725">
        <f ca="1">ROUND(D45/1.05*0.05,0)</f>
        <v>2724</v>
      </c>
    </row>
    <row r="55" spans="1:35" ht="24" customHeight="1">
      <c r="A55" s="3621" t="s">
        <v>1359</v>
      </c>
      <c r="B55" s="3622"/>
      <c r="C55" s="3622"/>
      <c r="D55" s="3486">
        <f ca="1">IF(H55="个人住宅",0,ROUND(D45*I55,0))</f>
        <v>29</v>
      </c>
      <c r="E55" s="3475" t="s">
        <v>1360</v>
      </c>
      <c r="F55" s="2553">
        <f>IF(H55="正常",I55,"免征")</f>
        <v>5.0000000000000001E-4</v>
      </c>
      <c r="G55" s="2554"/>
      <c r="H55" s="2549" t="s">
        <v>3616</v>
      </c>
      <c r="I55" s="165">
        <f>'数据-取费表'!B49</f>
        <v>5.0000000000000001E-4</v>
      </c>
      <c r="J55" s="3484" t="str">
        <f>IF(H59="非个人房产","",4)</f>
        <v/>
      </c>
      <c r="K55" s="3671" t="str">
        <f>IF(H59="非个人房产","——","个人所得税")</f>
        <v>——</v>
      </c>
      <c r="L55" s="3671"/>
      <c r="M55" s="2527" t="str">
        <f>D59</f>
        <v>——</v>
      </c>
      <c r="N55" s="3485" t="str">
        <f>E59</f>
        <v>——</v>
      </c>
      <c r="O55" s="2528" t="str">
        <f>F59</f>
        <v>——</v>
      </c>
    </row>
    <row r="56" spans="1:35" ht="24.75">
      <c r="A56" s="3621" t="s">
        <v>1361</v>
      </c>
      <c r="B56" s="3622"/>
      <c r="C56" s="3622"/>
      <c r="D56" s="3486">
        <f ca="1">IF(H56="个人住宅",D57,D58)</f>
        <v>32427</v>
      </c>
      <c r="E56" s="3475" t="s">
        <v>1362</v>
      </c>
      <c r="F56" s="2553" t="str">
        <f>IF(H56="正常",F58,"免征")</f>
        <v>——</v>
      </c>
      <c r="G56" s="2556" t="s">
        <v>1363</v>
      </c>
      <c r="H56" s="2557" t="s">
        <v>3616</v>
      </c>
      <c r="I56" s="1807"/>
      <c r="J56" s="3484" t="str">
        <f>IF(项目基本情况!K6="上海银行",IF(J55="",4,J55+1),"")</f>
        <v/>
      </c>
      <c r="K56" s="3694" t="str">
        <f>IF(项目基本情况!K6="上海银行","其他处置费用","")</f>
        <v/>
      </c>
      <c r="L56" s="3695"/>
      <c r="M56" s="2524" t="str">
        <f>IF(项目基本情况!K6="上海银行",M69,"")</f>
        <v/>
      </c>
      <c r="N56" s="3694" t="str">
        <f>IF(项目基本情况!K6="上海银行","包含处置中涉及的律师、诉讼、拍卖、评估等费用","")</f>
        <v/>
      </c>
      <c r="O56" s="3697"/>
    </row>
    <row r="57" spans="1:35" ht="12.75">
      <c r="A57" s="3474" t="s">
        <v>1339</v>
      </c>
      <c r="B57" s="3632" t="s">
        <v>1364</v>
      </c>
      <c r="C57" s="3633"/>
      <c r="D57" s="1589">
        <v>0</v>
      </c>
      <c r="E57" s="324" t="s">
        <v>1341</v>
      </c>
      <c r="F57" s="302"/>
      <c r="G57" s="2554"/>
      <c r="H57" s="2558"/>
      <c r="I57" s="1807"/>
      <c r="J57" s="3671">
        <f>IF(AND(J55="",J56=""),4,IF(项目基本情况!K6="上海银行",结果表13号楼!J56+1,结果表13号楼!J55+1))</f>
        <v>4</v>
      </c>
      <c r="K57" s="3671" t="s">
        <v>1365</v>
      </c>
      <c r="L57" s="2529" t="s">
        <v>1366</v>
      </c>
      <c r="M57" s="2530"/>
      <c r="N57" s="2531">
        <f ca="1">SUMIF(M52:M56,"&lt;9e307")</f>
        <v>35452</v>
      </c>
      <c r="O57" s="2532"/>
      <c r="P57" s="3515">
        <f ca="1">P54+P52+P53</f>
        <v>5749</v>
      </c>
    </row>
    <row r="58" spans="1:35" ht="24.75">
      <c r="A58" s="3474" t="s">
        <v>1350</v>
      </c>
      <c r="B58" s="3632" t="s">
        <v>1367</v>
      </c>
      <c r="C58" s="3606"/>
      <c r="D58" s="3486">
        <f ca="1">IF(H58="转让取得",C81,C97)</f>
        <v>32427</v>
      </c>
      <c r="E58" s="3475" t="s">
        <v>1362</v>
      </c>
      <c r="F58" s="302" t="s">
        <v>28</v>
      </c>
      <c r="G58" s="2554"/>
      <c r="H58" s="2557" t="s">
        <v>3725</v>
      </c>
      <c r="I58" s="1807"/>
      <c r="J58" s="3671"/>
      <c r="K58" s="3671"/>
      <c r="L58" s="2529" t="s">
        <v>1368</v>
      </c>
      <c r="M58" s="2533"/>
      <c r="N58" s="2534" t="str">
        <f ca="1">NUMBERSTRING(INT(N57*10000),2)&amp;"元整"</f>
        <v>叁亿伍仟肆佰伍拾贰万元整</v>
      </c>
      <c r="O58" s="2535"/>
    </row>
    <row r="59" spans="1:35" ht="24.75" thickBot="1">
      <c r="A59" s="3674" t="s">
        <v>1369</v>
      </c>
      <c r="B59" s="3675"/>
      <c r="C59" s="367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1363</v>
      </c>
      <c r="H59" s="2313" t="s">
        <v>3726</v>
      </c>
      <c r="I59" s="2312" t="s">
        <v>2134</v>
      </c>
      <c r="J59" s="3672">
        <f>J57+1</f>
        <v>5</v>
      </c>
      <c r="K59" s="3671" t="s">
        <v>1370</v>
      </c>
      <c r="L59" s="3484" t="s">
        <v>1366</v>
      </c>
      <c r="M59" s="2536"/>
      <c r="N59" s="2537">
        <f ca="1">M49-N57</f>
        <v>21748</v>
      </c>
      <c r="O59" s="2538"/>
      <c r="P59" s="725">
        <f ca="1">G19-P57</f>
        <v>51451</v>
      </c>
    </row>
    <row r="60" spans="1:35" ht="12" customHeight="1">
      <c r="A60" s="1808"/>
      <c r="B60" s="1746"/>
      <c r="C60" s="1746"/>
      <c r="D60" s="1746"/>
      <c r="E60" s="1577"/>
      <c r="F60" s="1807"/>
      <c r="G60" s="1807"/>
      <c r="H60" s="1809"/>
      <c r="I60" s="129"/>
      <c r="J60" s="3673"/>
      <c r="K60" s="3671"/>
      <c r="L60" s="2529" t="s">
        <v>1368</v>
      </c>
      <c r="M60" s="2533"/>
      <c r="N60" s="2534" t="str">
        <f ca="1">NUMBERSTRING(INT(N59*10000),2)&amp;"元整"</f>
        <v>贰亿壹仟柒佰肆拾捌万元整</v>
      </c>
      <c r="O60" s="2535"/>
    </row>
    <row r="61" spans="1:35" ht="13.5" thickBot="1">
      <c r="A61" s="3619" t="s">
        <v>1371</v>
      </c>
      <c r="B61" s="3619"/>
      <c r="C61" s="3619"/>
      <c r="D61" s="3619"/>
      <c r="E61" s="3619"/>
      <c r="F61" s="1807"/>
      <c r="G61" s="1807"/>
      <c r="H61" s="1809"/>
      <c r="I61" s="129"/>
      <c r="J61" s="3484">
        <f>J59+1</f>
        <v>6</v>
      </c>
      <c r="K61" s="3671" t="s">
        <v>1372</v>
      </c>
      <c r="L61" s="3671"/>
      <c r="M61" s="2539"/>
      <c r="N61" s="2540">
        <f ca="1">ROUND(N59*10000/'数据-汇总表'!E3,0)</f>
        <v>5913</v>
      </c>
      <c r="O61" s="2541"/>
    </row>
    <row r="62" spans="1:35" ht="12.75">
      <c r="A62" s="3637" t="s">
        <v>1373</v>
      </c>
      <c r="B62" s="3638"/>
      <c r="C62" s="3478"/>
      <c r="D62" s="3478" t="s">
        <v>1374</v>
      </c>
      <c r="E62" s="166" t="s">
        <v>1375</v>
      </c>
      <c r="F62" s="1807"/>
      <c r="G62" s="1807"/>
      <c r="H62" s="1809"/>
      <c r="I62" s="129"/>
    </row>
    <row r="63" spans="1:35" ht="12.75">
      <c r="A63" s="173" t="s">
        <v>330</v>
      </c>
      <c r="B63" s="167" t="s">
        <v>1376</v>
      </c>
      <c r="C63" s="2563">
        <f ca="1">ROUND((C64+C65)/(1+'数据-取费表'!C42),0)</f>
        <v>54476</v>
      </c>
      <c r="D63" s="167"/>
      <c r="E63" s="168"/>
      <c r="F63" s="1807"/>
      <c r="G63" s="1807"/>
      <c r="H63" s="1809"/>
      <c r="I63" s="129"/>
      <c r="J63" s="3696" t="s">
        <v>1377</v>
      </c>
      <c r="K63" s="3487" t="s">
        <v>1378</v>
      </c>
      <c r="L63" s="3487">
        <f ca="1">IF(M49&gt;10000,M49*0.5%,IF(AND(M49&gt;1000,M49&lt;=10000),M49*1%,IF(AND(M49&gt;100,M49&lt;=1000),M49*3%,IF(AND(M49&gt;10,M49&lt;=100),M49*5%,M49*8%))))</f>
        <v>286</v>
      </c>
      <c r="M63" s="302">
        <f ca="1">ROUND(L63,1)</f>
        <v>286</v>
      </c>
      <c r="N63" s="2542"/>
      <c r="Z63" s="1751"/>
      <c r="AI63" s="1752"/>
    </row>
    <row r="64" spans="1:35" ht="14.25" customHeight="1">
      <c r="A64" s="169" t="s">
        <v>325</v>
      </c>
      <c r="B64" s="170" t="s">
        <v>1379</v>
      </c>
      <c r="C64" s="2564">
        <f ca="1">D45</f>
        <v>57200</v>
      </c>
      <c r="D64" s="170" t="s">
        <v>26</v>
      </c>
      <c r="E64" s="172"/>
      <c r="F64" s="1807"/>
      <c r="G64" s="1807"/>
      <c r="H64" s="1809"/>
      <c r="I64" s="129"/>
      <c r="J64" s="3696"/>
      <c r="K64" s="3487" t="s">
        <v>1380</v>
      </c>
      <c r="L64" s="3487">
        <f ca="1">IF(M49&gt;2000,M49*0.5%,IF(AND(M49&gt;1000,M49&lt;=2000),M49*0.6%,IF(AND(M49&gt;500,M49&lt;=1000),M49*0.7%,IF(AND(M49&gt;200,M49&lt;=500),M49*0.8%,IF(AND(M49&gt;100,M49&lt;=200),M49*0.9%,IF(AND(M49&gt;50,M49&lt;=100),M49*1%,IF(AND(M49&gt;20,M49&lt;=50),M49*1.5%,IF(AND(M49&gt;10,M49&lt;=20),M49*2%,IF(AND(M49&gt;1,M49&lt;=10),M49*2.5%)))))))))</f>
        <v>286</v>
      </c>
      <c r="M64" s="302">
        <f t="shared" ref="M64:M65" ca="1" si="1">ROUND(L64,1)</f>
        <v>286</v>
      </c>
      <c r="N64" s="2543" t="s">
        <v>1381</v>
      </c>
      <c r="Z64" s="1751"/>
      <c r="AI64" s="1752"/>
    </row>
    <row r="65" spans="1:35" ht="14.25" customHeight="1">
      <c r="A65" s="169" t="s">
        <v>326</v>
      </c>
      <c r="B65" s="170" t="s">
        <v>1382</v>
      </c>
      <c r="C65" s="2565"/>
      <c r="D65" s="170"/>
      <c r="E65" s="172"/>
      <c r="F65" s="1807"/>
      <c r="G65" s="1807"/>
      <c r="H65" s="1809"/>
      <c r="I65" s="129"/>
      <c r="J65" s="3696"/>
      <c r="K65" s="3487" t="s">
        <v>1383</v>
      </c>
      <c r="L65" s="3487">
        <f ca="1">IF(M49&gt;1000,M49*0.1%,IF(AND(M49&gt;500,M49&lt;=1000),M49*0.5%,IF(AND(M49&gt;50,M49&lt;=500),M49*1%,IF(AND(M49&gt;1,M49&lt;=50),M49*1.5%))))</f>
        <v>57.2</v>
      </c>
      <c r="M65" s="302">
        <f t="shared" ca="1" si="1"/>
        <v>57.2</v>
      </c>
      <c r="N65" s="2543" t="s">
        <v>1381</v>
      </c>
      <c r="Z65" s="1751"/>
      <c r="AI65" s="1752"/>
    </row>
    <row r="66" spans="1:35" ht="14.25" customHeight="1">
      <c r="A66" s="173" t="s">
        <v>327</v>
      </c>
      <c r="B66" s="174" t="s">
        <v>1384</v>
      </c>
      <c r="C66" s="2566"/>
      <c r="D66" s="174" t="s">
        <v>26</v>
      </c>
      <c r="E66" s="1337" t="s">
        <v>671</v>
      </c>
      <c r="F66" s="1807"/>
      <c r="G66" s="1807"/>
      <c r="H66" s="1809"/>
      <c r="I66" s="129"/>
      <c r="J66" s="3696"/>
      <c r="K66" s="3487" t="s">
        <v>1385</v>
      </c>
      <c r="L66" s="3487">
        <f ca="1">M49*0.5%</f>
        <v>286</v>
      </c>
      <c r="M66" s="302">
        <f ca="1">IF(L66&gt;0.5,0.5,ROUND(L66,0))</f>
        <v>0.5</v>
      </c>
      <c r="N66" s="2543" t="s">
        <v>1386</v>
      </c>
      <c r="Z66" s="1751"/>
      <c r="AI66" s="1752"/>
    </row>
    <row r="67" spans="1:35" ht="14.25" customHeight="1">
      <c r="A67" s="173" t="s">
        <v>328</v>
      </c>
      <c r="B67" s="174" t="s">
        <v>1387</v>
      </c>
      <c r="C67" s="2567">
        <f ca="1">C63-C66</f>
        <v>54476</v>
      </c>
      <c r="D67" s="170" t="s">
        <v>26</v>
      </c>
      <c r="E67" s="172"/>
      <c r="F67" s="1807"/>
      <c r="G67" s="1807"/>
      <c r="H67" s="1809"/>
      <c r="I67" s="129"/>
      <c r="J67" s="3696"/>
      <c r="K67" s="3487" t="s">
        <v>1388</v>
      </c>
      <c r="L67" s="3487">
        <f ca="1">IF(M49&gt;=10000,(8.25+(M49-10000)*0.01%),IF(AND(M49&gt;=8000,M49&lt;10000),(7.85+(M49-8000)*0.02%),IF(AND(M49&gt;=5000,M49&lt;8000),(6.65+(M49-5000)*0.04%),IF(AND(M49&gt;=2000,M49&lt;5000),(4.25+(PM49-2000)*0.08%),IF(AND(M49&gt;=1000,M49&lt;2000),(2.75+(M49-1000)*0.15%),IF(AND(M49&gt;=100,M49&lt;1000),(0.5+(M49-100)*0.25%),IF(AND(M49&gt;0,M49&lt;100),M49*0.5%)))))))</f>
        <v>12.97</v>
      </c>
      <c r="M67" s="302">
        <f ca="1">ROUND(L67*0.9,1)</f>
        <v>11.7</v>
      </c>
      <c r="N67" s="2542"/>
      <c r="Z67" s="1751"/>
      <c r="AI67" s="1752"/>
    </row>
    <row r="68" spans="1:35" ht="14.25" customHeight="1" thickBot="1">
      <c r="A68" s="176" t="s">
        <v>329</v>
      </c>
      <c r="B68" s="177" t="s">
        <v>1389</v>
      </c>
      <c r="C68" s="2568">
        <f ca="1">IF(C67&lt;=0,0,ROUND(C67*D68,0))</f>
        <v>2996</v>
      </c>
      <c r="D68" s="2569">
        <f>'数据-取费表'!B41</f>
        <v>5.5000000000000007E-2</v>
      </c>
      <c r="E68" s="178"/>
      <c r="F68" s="1807"/>
      <c r="G68" s="1807"/>
      <c r="H68" s="1809"/>
      <c r="I68" s="129"/>
      <c r="J68" s="3696"/>
      <c r="K68" s="3487" t="s">
        <v>1390</v>
      </c>
      <c r="L68" s="3487">
        <f ca="1">IF(M49&gt;10000,M49*0.5%,IF(AND(M49&gt;5000,M49&lt;=10000),M49*1%,IF(AND(M49&gt;1000,M49&lt;=5000),M49*2%,IF(AND(M49&gt;200,M49&lt;=1000),M49*3%,M49*5%))))</f>
        <v>286</v>
      </c>
      <c r="M68" s="302">
        <f ca="1">ROUND(L68,1)</f>
        <v>286</v>
      </c>
      <c r="N68" s="2542"/>
      <c r="Z68" s="1751"/>
      <c r="AI68" s="1752"/>
    </row>
    <row r="69" spans="1:35" s="1771" customFormat="1" ht="16.5" customHeight="1">
      <c r="A69" s="1810"/>
      <c r="B69" s="1811"/>
      <c r="C69" s="1812"/>
      <c r="D69" s="1813"/>
      <c r="E69" s="1814"/>
      <c r="F69" s="1577"/>
      <c r="G69" s="1577"/>
      <c r="H69" s="1576"/>
      <c r="I69" s="1746"/>
      <c r="J69" s="3696"/>
      <c r="K69" s="3487" t="s">
        <v>1391</v>
      </c>
      <c r="L69" s="3487"/>
      <c r="M69" s="302">
        <f ca="1">ROUND(SUM(M63:M68),0)</f>
        <v>927</v>
      </c>
      <c r="N69" s="2544">
        <f ca="1">M69/M49</f>
        <v>1.6206293706293708E-2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8" t="s">
        <v>1392</v>
      </c>
      <c r="B70" s="3659"/>
      <c r="C70" s="3659"/>
      <c r="D70" s="3659"/>
      <c r="E70" s="3659"/>
      <c r="F70" s="3659"/>
      <c r="G70" s="3659"/>
      <c r="H70" s="3659"/>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7" t="s">
        <v>1373</v>
      </c>
      <c r="B71" s="3638"/>
      <c r="C71" s="3478"/>
      <c r="D71" s="3478"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54476</v>
      </c>
      <c r="D72" s="170" t="s">
        <v>26</v>
      </c>
      <c r="E72" s="3477"/>
      <c r="F72" s="3469"/>
      <c r="G72" s="346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272</v>
      </c>
      <c r="D73" s="170" t="s">
        <v>26</v>
      </c>
      <c r="E73" s="3477"/>
      <c r="F73" s="3469"/>
      <c r="G73" s="346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7"/>
      <c r="F74" s="3469"/>
      <c r="G74" s="346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2" t="s">
        <v>1400</v>
      </c>
      <c r="F76" s="3606"/>
      <c r="G76" s="3606"/>
      <c r="H76" s="365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86" t="s">
        <v>1402</v>
      </c>
      <c r="F77" s="186"/>
      <c r="G77" s="1821"/>
      <c r="H77" s="348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272</v>
      </c>
      <c r="D78" s="2576">
        <f>'数据-取费表'!B43</f>
        <v>5.000000000000001E-3</v>
      </c>
      <c r="E78" s="3616" t="s">
        <v>1404</v>
      </c>
      <c r="F78" s="3617"/>
      <c r="G78" s="3617"/>
      <c r="H78" s="362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1405</v>
      </c>
      <c r="C79" s="2567">
        <f ca="1">C72-C73</f>
        <v>54204</v>
      </c>
      <c r="D79" s="170" t="s">
        <v>26</v>
      </c>
      <c r="E79" s="3477"/>
      <c r="F79" s="3469"/>
      <c r="G79" s="346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199.27941176470588</v>
      </c>
      <c r="D80" s="170" t="s">
        <v>26</v>
      </c>
      <c r="E80" s="3486" t="str">
        <f ca="1">IF(C80&gt;=200%,"增值额超过扣除项目金额200%",IF(C80&gt;=100%,"增值额超过扣除项目金额100%，未超过200%",IF(C80&gt;=50%,"增值额超过扣除项目金额50%，未超过100%",IF(C80&lt;50%,"增值额未超过扣除项目金额50%"))))</f>
        <v>增值额超过扣除项目金额200%</v>
      </c>
      <c r="F80" s="3469"/>
      <c r="G80" s="346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32427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8" t="s">
        <v>1408</v>
      </c>
      <c r="B83" s="3659"/>
      <c r="C83" s="3659"/>
      <c r="D83" s="3659"/>
      <c r="E83" s="3659"/>
      <c r="F83" s="3659"/>
      <c r="G83" s="3659"/>
      <c r="H83" s="365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1373</v>
      </c>
      <c r="B84" s="3638"/>
      <c r="C84" s="3478"/>
      <c r="D84" s="3478"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54476</v>
      </c>
      <c r="D85" s="170" t="s">
        <v>26</v>
      </c>
      <c r="E85" s="3477"/>
      <c r="F85" s="3469"/>
      <c r="G85" s="346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272</v>
      </c>
      <c r="D86" s="2580"/>
      <c r="E86" s="3477"/>
      <c r="F86" s="3469"/>
      <c r="G86" s="346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698" t="s">
        <v>2126</v>
      </c>
      <c r="H90" s="3699"/>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16" t="s">
        <v>1417</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16" t="s">
        <v>1420</v>
      </c>
      <c r="F92" s="3617"/>
      <c r="G92" s="3617"/>
      <c r="H92" s="3626"/>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272</v>
      </c>
      <c r="D93" s="2576">
        <f>'数据-取费表'!B43</f>
        <v>5.000000000000001E-3</v>
      </c>
      <c r="E93" s="3616" t="s">
        <v>1404</v>
      </c>
      <c r="F93" s="3617"/>
      <c r="G93" s="3617"/>
      <c r="H93" s="362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27" t="s">
        <v>1424</v>
      </c>
      <c r="F94" s="3628"/>
      <c r="G94" s="3628"/>
      <c r="H94" s="362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1405</v>
      </c>
      <c r="C95" s="2567">
        <f ca="1">ROUND(C85-C86,0)</f>
        <v>54204</v>
      </c>
      <c r="D95" s="170" t="s">
        <v>26</v>
      </c>
      <c r="E95" s="3477"/>
      <c r="F95" s="3469"/>
      <c r="G95" s="346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199.27941176470588</v>
      </c>
      <c r="D96" s="170" t="s">
        <v>26</v>
      </c>
      <c r="E96" s="3486" t="str">
        <f ca="1">IF(C96&gt;=200%,"增值额超过扣除项目金额200%",IF(C96&gt;=100%,"增值额超过扣除项目金额100%，未超过200%",IF(C96&gt;=50%,"增值额超过扣除项目金额50%，未超过100%",IF(C96&lt;50%,"增值额未超过扣除项目金额50%"))))</f>
        <v>增值额超过扣除项目金额200%</v>
      </c>
      <c r="F96" s="3469"/>
      <c r="G96" s="346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32427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600" t="s">
        <v>1426</v>
      </c>
      <c r="B100" s="3601"/>
      <c r="C100" s="3601"/>
      <c r="D100" s="3618"/>
      <c r="E100" s="3601" t="s">
        <v>1427</v>
      </c>
      <c r="F100" s="3601"/>
      <c r="G100" s="3601"/>
      <c r="H100" s="3618"/>
      <c r="I100" s="129"/>
    </row>
    <row r="101" spans="1:35" ht="18.75" customHeight="1">
      <c r="A101" s="3679" t="s">
        <v>1428</v>
      </c>
      <c r="B101" s="3680"/>
      <c r="C101" s="2584" t="str">
        <f>C4</f>
        <v>比较法-办公13号楼</v>
      </c>
      <c r="D101" s="2585" t="str">
        <f>D4</f>
        <v>收益法13号楼</v>
      </c>
      <c r="E101" s="3693" t="s">
        <v>1429</v>
      </c>
      <c r="F101" s="3650"/>
      <c r="G101" s="1826" t="s">
        <v>1430</v>
      </c>
      <c r="H101" s="2594">
        <f ca="1">H118</f>
        <v>57200</v>
      </c>
      <c r="I101" s="129"/>
    </row>
    <row r="102" spans="1:35" ht="18.75" customHeight="1">
      <c r="A102" s="3652" t="s">
        <v>1431</v>
      </c>
      <c r="B102" s="2583" t="s">
        <v>1430</v>
      </c>
      <c r="C102" s="2584">
        <f ca="1">IF(D32="楼面单价",ROUND(C19,0),C19)</f>
        <v>63915</v>
      </c>
      <c r="D102" s="2585">
        <f ca="1">IF(D32="楼面单价",ROUND(D19,0),D19)</f>
        <v>41533</v>
      </c>
      <c r="E102" s="3693"/>
      <c r="F102" s="3650"/>
      <c r="G102" s="1826" t="s">
        <v>1432</v>
      </c>
      <c r="H102" s="2554">
        <f ca="1">I118</f>
        <v>22615</v>
      </c>
      <c r="I102" s="129"/>
    </row>
    <row r="103" spans="1:35" ht="42.75" customHeight="1">
      <c r="A103" s="3652"/>
      <c r="B103" s="2583" t="s">
        <v>1432</v>
      </c>
      <c r="C103" s="2586">
        <f ca="1">C20</f>
        <v>25270</v>
      </c>
      <c r="D103" s="2587">
        <f ca="1">D20</f>
        <v>16421</v>
      </c>
      <c r="E103" s="3687" t="s">
        <v>1433</v>
      </c>
      <c r="F103" s="3688"/>
      <c r="G103" s="1827" t="s">
        <v>1434</v>
      </c>
      <c r="H103" s="2594">
        <f>IF(D36="正常操作",H104+H105+H106,H105+H106)</f>
        <v>0</v>
      </c>
      <c r="I103" s="129"/>
    </row>
    <row r="104" spans="1:35" ht="18.75" customHeight="1">
      <c r="A104" s="3652" t="s">
        <v>1435</v>
      </c>
      <c r="B104" s="2588" t="s">
        <v>1430</v>
      </c>
      <c r="C104" s="2589">
        <f ca="1">H118</f>
        <v>57200</v>
      </c>
      <c r="D104" s="2590"/>
      <c r="E104" s="1673" t="s">
        <v>1436</v>
      </c>
      <c r="F104" s="1665"/>
      <c r="G104" s="1827" t="s">
        <v>1434</v>
      </c>
      <c r="H104" s="2595">
        <f>IF(D36="同一抵押权人同一抵押物续贷",C36&amp;"（续贷，未扣减，详见特别提示）",C36)</f>
        <v>0</v>
      </c>
      <c r="I104" s="129"/>
    </row>
    <row r="105" spans="1:35" ht="18.75" customHeight="1" thickBot="1">
      <c r="A105" s="3653"/>
      <c r="B105" s="2591" t="s">
        <v>1432</v>
      </c>
      <c r="C105" s="2592">
        <f ca="1">I118</f>
        <v>22615</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9" t="str">
        <f>IF(项目基本情况!E8="已注销","——","3.房地产抵押价值")</f>
        <v>3.房地产抵押价值</v>
      </c>
      <c r="F107" s="3650"/>
      <c r="G107" s="1826" t="s">
        <v>1430</v>
      </c>
      <c r="H107" s="2594">
        <f ca="1">IF(E107="——","——",H101-H103)</f>
        <v>57200</v>
      </c>
      <c r="I107" s="129"/>
    </row>
    <row r="108" spans="1:35" ht="18.75" customHeight="1">
      <c r="A108" s="129"/>
      <c r="B108" s="129"/>
      <c r="C108" s="129"/>
      <c r="D108" s="129"/>
      <c r="E108" s="3649"/>
      <c r="F108" s="3650"/>
      <c r="G108" s="1826" t="s">
        <v>1432</v>
      </c>
      <c r="H108" s="2554">
        <f ca="1">IF(H107=H101,H102,ROUND(H107*10000/'数据-汇总表'!E3,0))</f>
        <v>22615</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50"/>
      <c r="G109" s="1826" t="s">
        <v>1430</v>
      </c>
      <c r="H109" s="2597" t="str">
        <f>IF(E109="——","——",H101-H105-H106)</f>
        <v>——</v>
      </c>
      <c r="I109" s="129"/>
    </row>
    <row r="110" spans="1:35" ht="18.75" customHeight="1">
      <c r="A110" s="129"/>
      <c r="B110" s="129"/>
      <c r="C110" s="129"/>
      <c r="D110" s="129"/>
      <c r="E110" s="3649"/>
      <c r="F110" s="3650"/>
      <c r="G110" s="1826" t="s">
        <v>1432</v>
      </c>
      <c r="H110" s="2554"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4.抵押净值</v>
      </c>
      <c r="F111" s="3651"/>
      <c r="G111" s="1826" t="s">
        <v>1430</v>
      </c>
      <c r="H111" s="2594">
        <f ca="1">IF(E111="——","——",N59)</f>
        <v>21748</v>
      </c>
      <c r="I111" s="129"/>
    </row>
    <row r="112" spans="1:35" ht="18.75" customHeight="1" thickBot="1">
      <c r="A112" s="129"/>
      <c r="B112" s="129"/>
      <c r="C112" s="129"/>
      <c r="D112" s="129"/>
      <c r="E112" s="3682"/>
      <c r="F112" s="3683"/>
      <c r="G112" s="1829" t="s">
        <v>1432</v>
      </c>
      <c r="H112" s="2598">
        <f ca="1">IF(E111="——","——",N61)</f>
        <v>5913</v>
      </c>
      <c r="I112" s="129"/>
    </row>
    <row r="113" spans="1:27" ht="18.75" customHeight="1">
      <c r="A113" s="129"/>
      <c r="B113" s="129"/>
      <c r="C113" s="129"/>
      <c r="D113" s="129"/>
      <c r="E113" s="3654" t="s">
        <v>1438</v>
      </c>
      <c r="F113" s="3654"/>
      <c r="G113" s="3654"/>
      <c r="H113" s="3654"/>
      <c r="I113" s="129"/>
    </row>
    <row r="114" spans="1:27" ht="3.75" customHeight="1">
      <c r="A114" s="1746"/>
      <c r="B114" s="1746"/>
      <c r="C114" s="1746"/>
      <c r="D114" s="1746"/>
      <c r="E114" s="1808"/>
      <c r="F114" s="1808"/>
      <c r="G114" s="1808"/>
      <c r="H114" s="1808"/>
      <c r="I114" s="1746"/>
    </row>
    <row r="115" spans="1:27" ht="18.75" customHeight="1">
      <c r="A115" s="3664" t="s">
        <v>1440</v>
      </c>
      <c r="B115" s="3665"/>
      <c r="C115" s="3665"/>
      <c r="D115" s="3665"/>
      <c r="E115" s="3665"/>
      <c r="F115" s="3665"/>
      <c r="G115" s="3665"/>
      <c r="H115" s="3665"/>
      <c r="I115" s="3666"/>
    </row>
    <row r="116" spans="1:27" ht="27" customHeight="1">
      <c r="A116" s="3620" t="s">
        <v>1441</v>
      </c>
      <c r="B116" s="3655" t="s">
        <v>1442</v>
      </c>
      <c r="C116" s="3655" t="s">
        <v>1443</v>
      </c>
      <c r="D116" s="3668" t="s">
        <v>1444</v>
      </c>
      <c r="E116" s="3669"/>
      <c r="F116" s="3663" t="s">
        <v>3622</v>
      </c>
      <c r="G116" s="3663"/>
      <c r="H116" s="3620" t="s">
        <v>1445</v>
      </c>
      <c r="I116" s="3620"/>
    </row>
    <row r="117" spans="1:27" ht="18.75" customHeight="1">
      <c r="A117" s="3620"/>
      <c r="B117" s="3656"/>
      <c r="C117" s="3656"/>
      <c r="D117" s="3473" t="s">
        <v>1446</v>
      </c>
      <c r="E117" s="3473" t="s">
        <v>1447</v>
      </c>
      <c r="F117" s="3473" t="s">
        <v>1446</v>
      </c>
      <c r="G117" s="3473" t="s">
        <v>1448</v>
      </c>
      <c r="H117" s="3473" t="s">
        <v>1446</v>
      </c>
      <c r="I117" s="3473" t="s">
        <v>1448</v>
      </c>
    </row>
    <row r="118" spans="1:27" ht="24.75" customHeight="1">
      <c r="A118" s="2599" t="str">
        <f>项目基本情况!S2</f>
        <v>北京市房地产</v>
      </c>
      <c r="B118" s="3473">
        <f>M18</f>
        <v>25292.940000000002</v>
      </c>
      <c r="C118" s="3473">
        <f>M19</f>
        <v>11939.52</v>
      </c>
      <c r="D118" s="3473">
        <f ca="1">ROUND(IF(D32="总价",C34,E118*B118/10000),0)</f>
        <v>32032</v>
      </c>
      <c r="E118" s="3473">
        <f ca="1">ROUND(IF(C33="自定义",IF(D32="楼面单价",C34,D118*10000/B118),I118-G118),0)</f>
        <v>12664</v>
      </c>
      <c r="F118" s="3473">
        <f ca="1">ROUND(IF(D32="总价",C35,G118*B118/10000),0)</f>
        <v>25168</v>
      </c>
      <c r="G118" s="3473">
        <f ca="1">ROUND(IF(D32="楼面单价",C35,F118*10000/B118),0)</f>
        <v>9951</v>
      </c>
      <c r="H118" s="3473">
        <f ca="1">ROUND(IF(D32="总价",C32,I118*B118/10000),0)</f>
        <v>57200</v>
      </c>
      <c r="I118" s="3473">
        <f ca="1">ROUND(IF(D32="楼面单价",C32,H118*10000/B118),0)</f>
        <v>22615</v>
      </c>
      <c r="K118" s="725">
        <f ca="1">D118/(C118/666.67)</f>
        <v>1788.5788909436894</v>
      </c>
    </row>
    <row r="119" spans="1:27" ht="18.75" customHeight="1">
      <c r="A119" s="3620" t="s">
        <v>1449</v>
      </c>
      <c r="B119" s="3620"/>
      <c r="C119" s="3620"/>
      <c r="D119" s="3660" t="str">
        <f ca="1">NUMBERSTRING(INT(D118*10000),2)&amp;"元整"</f>
        <v>叁亿贰仟零叁拾贰万元整</v>
      </c>
      <c r="E119" s="3662"/>
      <c r="F119" s="3660" t="str">
        <f ca="1">NUMBERSTRING(INT(F118*10000),2)&amp;"元整"</f>
        <v>贰亿伍仟壹佰陆拾捌万元整</v>
      </c>
      <c r="G119" s="3662"/>
      <c r="H119" s="3660" t="str">
        <f ca="1">NUMBERSTRING(INT(H118*10000),2)&amp;"元整"</f>
        <v>伍亿柒仟贰佰万元整</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0" t="s">
        <v>1449</v>
      </c>
      <c r="B121" s="3661"/>
      <c r="C121" s="3662"/>
      <c r="D121" s="3660" t="str">
        <f>IF(D120=0,"零元整",NUMBERSTRING(INT(D120*10000),2)&amp;"元整")</f>
        <v>零元整</v>
      </c>
      <c r="E121" s="3661"/>
      <c r="F121" s="3661"/>
      <c r="G121" s="3661"/>
      <c r="H121" s="3661"/>
      <c r="I121" s="3662"/>
      <c r="AA121" s="725"/>
    </row>
    <row r="122" spans="1:27" ht="18.75" customHeight="1">
      <c r="A122" s="3651" t="str">
        <f>IF(项目基本情况!B9="房地产市场价值","",MID(E107,3,LEN(E107)-2))</f>
        <v>房地产抵押价值</v>
      </c>
      <c r="B122" s="3651"/>
      <c r="C122" s="3651"/>
      <c r="D122" s="3684">
        <f ca="1">H107</f>
        <v>57200</v>
      </c>
      <c r="E122" s="3685"/>
      <c r="F122" s="3685"/>
      <c r="G122" s="3685"/>
      <c r="H122" s="3685"/>
      <c r="I122" s="3686"/>
      <c r="AA122" s="725"/>
    </row>
    <row r="123" spans="1:27" ht="18.75" customHeight="1">
      <c r="A123" s="3620" t="s">
        <v>1449</v>
      </c>
      <c r="B123" s="3620"/>
      <c r="C123" s="3620"/>
      <c r="D123" s="3660" t="str">
        <f ca="1">NUMBERSTRING(INT(D122*10000),2)&amp;"元整"</f>
        <v>伍亿柒仟贰佰万元整</v>
      </c>
      <c r="E123" s="3661"/>
      <c r="F123" s="3661"/>
      <c r="G123" s="3661"/>
      <c r="H123" s="3661"/>
      <c r="I123" s="3662"/>
      <c r="AA123" s="725"/>
    </row>
    <row r="124" spans="1:27" ht="18.75" customHeight="1">
      <c r="A124" s="3651" t="str">
        <f>IF(项目基本情况!B9="房地产市场价值","",MID(E109,3,LEN(E109)-2))</f>
        <v/>
      </c>
      <c r="B124" s="3651"/>
      <c r="C124" s="3651"/>
      <c r="D124" s="3684" t="str">
        <f>H109</f>
        <v>——</v>
      </c>
      <c r="E124" s="3685"/>
      <c r="F124" s="3685"/>
      <c r="G124" s="3685"/>
      <c r="H124" s="3685"/>
      <c r="I124" s="3686"/>
      <c r="AA124" s="725"/>
    </row>
    <row r="125" spans="1:27" ht="18.75" customHeight="1">
      <c r="A125" s="3620" t="s">
        <v>1449</v>
      </c>
      <c r="B125" s="3620"/>
      <c r="C125" s="3620"/>
      <c r="D125" s="3660" t="e">
        <f>NUMBERSTRING(INT(D124*10000),2)&amp;"元整"</f>
        <v>#VALUE!</v>
      </c>
      <c r="E125" s="3661"/>
      <c r="F125" s="3661"/>
      <c r="G125" s="3661"/>
      <c r="H125" s="3661"/>
      <c r="I125" s="3662"/>
      <c r="AA125" s="725"/>
    </row>
    <row r="126" spans="1:27" ht="18.75" customHeight="1">
      <c r="A126" s="3651" t="str">
        <f>IF(项目基本情况!B9="房地产市场价值","",MID(E111,3,LEN(E111)-2))</f>
        <v>抵押净值</v>
      </c>
      <c r="B126" s="3651"/>
      <c r="C126" s="3651"/>
      <c r="D126" s="3684">
        <f ca="1">H111</f>
        <v>21748</v>
      </c>
      <c r="E126" s="3685"/>
      <c r="F126" s="3685"/>
      <c r="G126" s="3685"/>
      <c r="H126" s="3685"/>
      <c r="I126" s="3686"/>
      <c r="AA126" s="725"/>
    </row>
    <row r="127" spans="1:27" ht="18.75" customHeight="1">
      <c r="A127" s="3620" t="s">
        <v>1449</v>
      </c>
      <c r="B127" s="3620"/>
      <c r="C127" s="3620"/>
      <c r="D127" s="3660" t="str">
        <f ca="1">NUMBERSTRING(INT(D126*10000),2)&amp;"元整"</f>
        <v>贰亿壹仟柒佰肆拾捌万元整</v>
      </c>
      <c r="E127" s="3661"/>
      <c r="F127" s="3661"/>
      <c r="G127" s="3661"/>
      <c r="H127" s="3661"/>
      <c r="I127" s="3662"/>
      <c r="AA127" s="725"/>
    </row>
    <row r="128" spans="1:27" ht="21.75" customHeight="1">
      <c r="A128" s="3667" t="s">
        <v>1450</v>
      </c>
      <c r="B128" s="3667"/>
      <c r="C128" s="3667"/>
      <c r="D128" s="3667"/>
      <c r="E128" s="3667"/>
      <c r="F128" s="3667"/>
      <c r="G128" s="3667"/>
      <c r="H128" s="3667"/>
      <c r="I128" s="366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41" priority="10" stopIfTrue="1" operator="equal">
      <formula>25</formula>
    </cfRule>
  </conditionalFormatting>
  <conditionalFormatting sqref="C8:C9">
    <cfRule type="cellIs" dxfId="40" priority="9" stopIfTrue="1" operator="equal">
      <formula>15</formula>
    </cfRule>
  </conditionalFormatting>
  <conditionalFormatting sqref="C14:C16">
    <cfRule type="cellIs" dxfId="39" priority="8" stopIfTrue="1" operator="equal">
      <formula>30</formula>
    </cfRule>
  </conditionalFormatting>
  <conditionalFormatting sqref="D5:D7">
    <cfRule type="cellIs" dxfId="38" priority="7" stopIfTrue="1" operator="equal">
      <formula>25</formula>
    </cfRule>
  </conditionalFormatting>
  <conditionalFormatting sqref="D8:D9">
    <cfRule type="cellIs" dxfId="37" priority="6" stopIfTrue="1" operator="equal">
      <formula>15</formula>
    </cfRule>
  </conditionalFormatting>
  <conditionalFormatting sqref="C10:D13">
    <cfRule type="cellIs" dxfId="36" priority="5" stopIfTrue="1" operator="equal">
      <formula>15</formula>
    </cfRule>
  </conditionalFormatting>
  <conditionalFormatting sqref="D14:D16">
    <cfRule type="cellIs" dxfId="35" priority="4" stopIfTrue="1" operator="equal">
      <formula>30</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E36">
    <cfRule type="expression" dxfId="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3697</v>
      </c>
      <c r="D1" s="1361" t="s">
        <v>43</v>
      </c>
      <c r="E1" s="1362" t="s">
        <v>678</v>
      </c>
      <c r="F1" s="1062">
        <f ca="1">J53</f>
        <v>26.7</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41533</v>
      </c>
      <c r="C2" s="1386" t="s">
        <v>805</v>
      </c>
      <c r="D2" s="1386"/>
      <c r="E2" s="1387"/>
      <c r="F2" s="1388"/>
      <c r="G2" s="2704"/>
      <c r="H2" s="2693"/>
      <c r="I2" s="2693"/>
      <c r="J2" s="2693"/>
      <c r="K2" s="2694"/>
      <c r="L2" s="2693"/>
      <c r="M2" s="2693"/>
    </row>
    <row r="3" spans="1:37" ht="18" customHeight="1" thickBot="1">
      <c r="A3" s="1389" t="s">
        <v>806</v>
      </c>
      <c r="B3" s="1390">
        <f ca="1">IF(ISERROR(B2*10000/F43),0,ROUND(B2*10000/F43,0))</f>
        <v>16421</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2917</v>
      </c>
      <c r="D5" s="1363" t="s">
        <v>693</v>
      </c>
      <c r="E5" s="1071"/>
      <c r="F5" s="1072"/>
      <c r="G5" s="1383"/>
      <c r="H5" s="299">
        <v>1</v>
      </c>
      <c r="I5" s="300" t="s">
        <v>692</v>
      </c>
      <c r="J5" s="1070">
        <f ca="1">J6+J10+J12</f>
        <v>3144</v>
      </c>
      <c r="K5" s="1363" t="s">
        <v>693</v>
      </c>
      <c r="L5" s="1071"/>
      <c r="M5" s="1072"/>
    </row>
    <row r="6" spans="1:37" ht="18" customHeight="1">
      <c r="A6" s="1069" t="s">
        <v>398</v>
      </c>
      <c r="B6" s="3705" t="s">
        <v>694</v>
      </c>
      <c r="C6" s="1074">
        <f ca="1">ROUND(F6*F8*F7*(1-F9)/10000,0)</f>
        <v>2917</v>
      </c>
      <c r="D6" s="155" t="s">
        <v>2106</v>
      </c>
      <c r="E6" s="302" t="s">
        <v>696</v>
      </c>
      <c r="F6" s="303">
        <f ca="1">INDIRECT("'数据-取费表'!u"&amp;$G$1)</f>
        <v>3.16</v>
      </c>
      <c r="G6" s="1383"/>
      <c r="H6" s="1069" t="s">
        <v>398</v>
      </c>
      <c r="I6" s="3705" t="s">
        <v>694</v>
      </c>
      <c r="J6" s="301">
        <f ca="1">ROUND(M6*M8*M7*(1-M9)/10000,0)</f>
        <v>3140</v>
      </c>
      <c r="K6" s="155" t="s">
        <v>2105</v>
      </c>
      <c r="L6" s="302" t="s">
        <v>696</v>
      </c>
      <c r="M6" s="303">
        <f ca="1">INDIRECT("'数据-取费表'!z"&amp;$G$1)</f>
        <v>3.58</v>
      </c>
    </row>
    <row r="7" spans="1:37" ht="18" customHeight="1">
      <c r="A7" s="1073"/>
      <c r="B7" s="3706"/>
      <c r="C7" s="1075"/>
      <c r="D7" s="307"/>
      <c r="E7" s="3488" t="s">
        <v>697</v>
      </c>
      <c r="F7" s="303">
        <f ca="1">IF(INDIRECT("'数据-取费表'!ah"&amp;$G$1)="",INDIRECT("'数据-取费表'!k"&amp;$G$1),INDIRECT("'数据-取费表'!ah"&amp;$G$1))</f>
        <v>25292.940000000002</v>
      </c>
      <c r="G7" s="1383"/>
      <c r="H7" s="304"/>
      <c r="I7" s="3706"/>
      <c r="J7" s="306"/>
      <c r="K7" s="307"/>
      <c r="L7" s="302" t="s">
        <v>697</v>
      </c>
      <c r="M7" s="303">
        <f ca="1">F7</f>
        <v>25292.940000000002</v>
      </c>
    </row>
    <row r="8" spans="1:37" ht="18" customHeight="1">
      <c r="A8" s="304"/>
      <c r="B8" s="3706"/>
      <c r="C8" s="306"/>
      <c r="D8" s="307"/>
      <c r="E8" s="302" t="s">
        <v>698</v>
      </c>
      <c r="F8" s="303">
        <f ca="1">INDIRECT("'数据-取费表'!ai"&amp;$G$1)</f>
        <v>365</v>
      </c>
      <c r="G8" s="1383"/>
      <c r="H8" s="304"/>
      <c r="I8" s="3706"/>
      <c r="J8" s="306"/>
      <c r="K8" s="307"/>
      <c r="L8" s="302" t="s">
        <v>698</v>
      </c>
      <c r="M8" s="303">
        <f ca="1">INDIRECT("'数据-取费表'!ai"&amp;$G$1)</f>
        <v>365</v>
      </c>
    </row>
    <row r="9" spans="1:37" ht="18" customHeight="1">
      <c r="A9" s="304"/>
      <c r="B9" s="3707"/>
      <c r="C9" s="306"/>
      <c r="D9" s="307"/>
      <c r="E9" s="302" t="s">
        <v>699</v>
      </c>
      <c r="F9" s="312">
        <f ca="1">INDIRECT("'数据-取费表'!w"&amp;$G$1)</f>
        <v>0</v>
      </c>
      <c r="G9" s="1383"/>
      <c r="H9" s="304"/>
      <c r="I9" s="3707"/>
      <c r="J9" s="306"/>
      <c r="K9" s="307"/>
      <c r="L9" s="313" t="s">
        <v>699</v>
      </c>
      <c r="M9" s="314">
        <f ca="1">INDIRECT("'数据-取费表'!ab"&amp;$G$1)</f>
        <v>0.05</v>
      </c>
    </row>
    <row r="10" spans="1:37" ht="18" customHeight="1">
      <c r="A10" s="1069" t="s">
        <v>402</v>
      </c>
      <c r="B10" s="1364" t="s">
        <v>700</v>
      </c>
      <c r="C10" s="316">
        <f ca="1">ROUND(IF(F10="押一",C6/12*F11,IF(F10="押二",C6/12*2*F11,IF(F10="押三",C6/12*3*F11,C11*F11))),0)</f>
        <v>0</v>
      </c>
      <c r="D10" s="1365" t="s">
        <v>2113</v>
      </c>
      <c r="E10" s="313" t="s">
        <v>701</v>
      </c>
      <c r="F10" s="1116" t="s">
        <v>3723</v>
      </c>
      <c r="G10" s="1383"/>
      <c r="H10" s="1069" t="s">
        <v>402</v>
      </c>
      <c r="I10" s="1364" t="s">
        <v>700</v>
      </c>
      <c r="J10" s="301">
        <f ca="1">ROUND(IF(M10="押一",J6/12*M11,IF(M10="押二",J6/12*2*M11,IF(M10="押三",J6/12*3*M11,J11*M11))),0)</f>
        <v>4</v>
      </c>
      <c r="K10" s="1365" t="s">
        <v>2113</v>
      </c>
      <c r="L10" s="313" t="s">
        <v>701</v>
      </c>
      <c r="M10" s="1116" t="s">
        <v>3400</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18131</v>
      </c>
      <c r="D13" s="3465" t="s">
        <v>705</v>
      </c>
      <c r="E13" s="3465" t="s">
        <v>706</v>
      </c>
      <c r="F13" s="1082">
        <f ca="1">INDIRECT("'数据-取费表'!y"&amp;$G$1)</f>
        <v>0.85</v>
      </c>
      <c r="G13" s="1383"/>
      <c r="H13" s="1079">
        <v>2</v>
      </c>
      <c r="I13" s="1080" t="s">
        <v>704</v>
      </c>
      <c r="J13" s="1068">
        <f ca="1">ROUND(J14*J15,0)</f>
        <v>17064</v>
      </c>
      <c r="K13" s="1087" t="s">
        <v>705</v>
      </c>
      <c r="L13" s="1391"/>
      <c r="M13" s="1392"/>
    </row>
    <row r="14" spans="1:37" ht="18" customHeight="1">
      <c r="A14" s="982" t="s">
        <v>397</v>
      </c>
      <c r="B14" s="302" t="s">
        <v>707</v>
      </c>
      <c r="C14" s="318">
        <f ca="1">INDIRECT("'数据-取费表'!m"&amp;$G$1)+INDIRECT("'数据-取费表'!t"&amp;$G$1)</f>
        <v>15176</v>
      </c>
      <c r="D14" s="3477" t="s">
        <v>708</v>
      </c>
      <c r="E14" s="3469"/>
      <c r="F14" s="319"/>
      <c r="G14" s="1383"/>
      <c r="H14" s="982" t="s">
        <v>398</v>
      </c>
      <c r="I14" s="302" t="s">
        <v>709</v>
      </c>
      <c r="J14" s="21">
        <f ca="1">C29</f>
        <v>21330</v>
      </c>
      <c r="K14" s="3486"/>
      <c r="L14" s="807"/>
      <c r="M14" s="808"/>
    </row>
    <row r="15" spans="1:37" s="1396" customFormat="1" ht="18" customHeight="1" thickBot="1">
      <c r="A15" s="982" t="s">
        <v>399</v>
      </c>
      <c r="B15" s="302" t="s">
        <v>710</v>
      </c>
      <c r="C15" s="21">
        <f ca="1">ROUND(C14*F15,0)</f>
        <v>759</v>
      </c>
      <c r="D15" s="3466" t="s">
        <v>711</v>
      </c>
      <c r="E15" s="3466" t="s">
        <v>712</v>
      </c>
      <c r="F15" s="321">
        <f>'数据-取费表'!B33</f>
        <v>0.05</v>
      </c>
      <c r="G15" s="1395"/>
      <c r="H15" s="1089" t="s">
        <v>402</v>
      </c>
      <c r="I15" s="1090" t="s">
        <v>706</v>
      </c>
      <c r="J15" s="1099">
        <f ca="1">INDIRECT("'数据-取费表'!ad"&amp;$G$1)</f>
        <v>0.8</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665</v>
      </c>
      <c r="K16" s="1087" t="s">
        <v>715</v>
      </c>
      <c r="L16" s="3480"/>
      <c r="M16" s="1072"/>
    </row>
    <row r="17" spans="1:37" s="1396" customFormat="1" ht="18" customHeight="1">
      <c r="A17" s="982" t="s">
        <v>681</v>
      </c>
      <c r="B17" s="302" t="s">
        <v>716</v>
      </c>
      <c r="C17" s="21">
        <f ca="1">ROUND(F17*(F43+INDIRECT("'数据-取费表'!S"&amp;$G$1))/10000,0)</f>
        <v>506</v>
      </c>
      <c r="D17" s="302" t="s">
        <v>717</v>
      </c>
      <c r="E17" s="302" t="s">
        <v>718</v>
      </c>
      <c r="F17" s="23">
        <f>'数据-取费表'!B35</f>
        <v>200</v>
      </c>
      <c r="G17" s="1395"/>
      <c r="H17" s="982" t="s">
        <v>398</v>
      </c>
      <c r="I17" s="302" t="s">
        <v>719</v>
      </c>
      <c r="J17" s="2315">
        <f ca="1">ROUND(IF(AND(项目基本情况!B11="自然人",项目基本情况!B10="北京市"),J6*M17/(1+'数据-取费表'!C42),J18+J19+J20),2)</f>
        <v>525.13</v>
      </c>
      <c r="K17" s="3477" t="s">
        <v>720</v>
      </c>
      <c r="L17" s="3475"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304</v>
      </c>
      <c r="D18" s="302" t="s">
        <v>711</v>
      </c>
      <c r="E18" s="302" t="s">
        <v>712</v>
      </c>
      <c r="F18" s="322">
        <f>'数据-取费表'!B36</f>
        <v>0.02</v>
      </c>
      <c r="G18" s="1395"/>
      <c r="H18" s="982" t="s">
        <v>397</v>
      </c>
      <c r="I18" s="302" t="s">
        <v>723</v>
      </c>
      <c r="J18" s="21">
        <f ca="1">ROUND(J6*M18/(1+'数据-取费表'!C42),2)</f>
        <v>164.48</v>
      </c>
      <c r="K18" s="3475"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16745</v>
      </c>
      <c r="D19" s="131" t="s">
        <v>726</v>
      </c>
      <c r="E19" s="3496"/>
      <c r="F19" s="23"/>
      <c r="G19" s="1383"/>
      <c r="H19" s="982" t="s">
        <v>399</v>
      </c>
      <c r="I19" s="302" t="s">
        <v>727</v>
      </c>
      <c r="J19" s="21">
        <f ca="1">IF(K19="按租金收入计税",ROUND(J6*M19/(1+'数据-取费表'!C42),2),ROUND(C29*M19*0.7,2))</f>
        <v>358.86</v>
      </c>
      <c r="K19" s="1369" t="s">
        <v>3336</v>
      </c>
      <c r="L19" s="302" t="s">
        <v>712</v>
      </c>
      <c r="M19" s="322">
        <f>IF(K19="按租金收入计税",'数据-取费表'!B51,'数据-取费表'!B50)</f>
        <v>0.12</v>
      </c>
    </row>
    <row r="20" spans="1:37" s="1396" customFormat="1" ht="18" customHeight="1">
      <c r="A20" s="982" t="s">
        <v>402</v>
      </c>
      <c r="B20" s="302" t="s">
        <v>728</v>
      </c>
      <c r="C20" s="21">
        <f ca="1">ROUND(C19*F20,0)</f>
        <v>335</v>
      </c>
      <c r="D20" s="2427" t="s">
        <v>729</v>
      </c>
      <c r="E20" s="302" t="s">
        <v>712</v>
      </c>
      <c r="F20" s="322">
        <f>'数据-取费表'!B37</f>
        <v>0.02</v>
      </c>
      <c r="G20" s="1395"/>
      <c r="H20" s="982" t="s">
        <v>680</v>
      </c>
      <c r="I20" s="155" t="s">
        <v>730</v>
      </c>
      <c r="J20" s="22">
        <f ca="1">ROUND(M20*M21/10000,2)</f>
        <v>1.79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11939.52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6"/>
      <c r="F22" s="23"/>
      <c r="G22" s="1383"/>
      <c r="H22" s="982" t="s">
        <v>402</v>
      </c>
      <c r="I22" s="302" t="s">
        <v>738</v>
      </c>
      <c r="J22" s="21">
        <f ca="1">ROUND(J14*M22,2)</f>
        <v>106.65</v>
      </c>
      <c r="K22" s="3475"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590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17.059999999999999</v>
      </c>
      <c r="K23" s="3475"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15.72</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6"/>
      <c r="F25" s="23"/>
      <c r="G25" s="1383"/>
      <c r="H25" s="1079" t="s">
        <v>394</v>
      </c>
      <c r="I25" s="1094" t="s">
        <v>752</v>
      </c>
      <c r="J25" s="310">
        <f ca="1">J5-J16</f>
        <v>2479</v>
      </c>
      <c r="K25" s="1095" t="s">
        <v>753</v>
      </c>
      <c r="L25" s="1096"/>
      <c r="M25" s="1097"/>
    </row>
    <row r="26" spans="1:37">
      <c r="A26" s="982" t="s">
        <v>397</v>
      </c>
      <c r="B26" s="302" t="s">
        <v>754</v>
      </c>
      <c r="C26" s="21">
        <f ca="1">ROUND((C19+C20)*F26,0)</f>
        <v>2050</v>
      </c>
      <c r="D26" s="2427" t="s">
        <v>755</v>
      </c>
      <c r="E26" s="313" t="s">
        <v>756</v>
      </c>
      <c r="F26" s="312">
        <f ca="1">INDIRECT("'数据-取费表'!q"&amp;$G$1)</f>
        <v>0.12</v>
      </c>
      <c r="G26" s="1383"/>
      <c r="H26" s="299" t="s">
        <v>395</v>
      </c>
      <c r="I26" s="300" t="s">
        <v>757</v>
      </c>
      <c r="J26" s="301">
        <f ca="1">IF(J5&lt;&gt;0,ROUND(J25*(1-((1+M28)/(1+M26))^M27)/(M26-M28),0),0)</f>
        <v>39975</v>
      </c>
      <c r="K26" s="324" t="s">
        <v>758</v>
      </c>
      <c r="L26" s="302" t="s">
        <v>759</v>
      </c>
      <c r="M26" s="312">
        <f ca="1">INDIRECT("'数据-取费表'!I"&amp;$G$1)</f>
        <v>5.5E-2</v>
      </c>
    </row>
    <row r="27" spans="1:37" ht="18" customHeight="1">
      <c r="A27" s="982" t="s">
        <v>399</v>
      </c>
      <c r="B27" s="302" t="s">
        <v>760</v>
      </c>
      <c r="C27" s="21">
        <f ca="1">ROUND(F21*F26,4)</f>
        <v>2.3999999999999998E-3</v>
      </c>
      <c r="D27" s="2427" t="s">
        <v>761</v>
      </c>
      <c r="E27" s="3466"/>
      <c r="F27" s="321"/>
      <c r="G27" s="1383"/>
      <c r="H27" s="304"/>
      <c r="I27" s="305"/>
      <c r="J27" s="306"/>
      <c r="K27" s="332" t="s">
        <v>762</v>
      </c>
      <c r="L27" s="302" t="s">
        <v>763</v>
      </c>
      <c r="M27" s="333">
        <f ca="1">INDIRECT("'数据-取费表'!ag"&amp;$G$1)</f>
        <v>22.919999999999998</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21330</v>
      </c>
      <c r="D29" s="1092"/>
      <c r="E29" s="1090"/>
      <c r="F29" s="1093"/>
      <c r="G29" s="1395"/>
      <c r="H29" s="334" t="s">
        <v>396</v>
      </c>
      <c r="I29" s="335" t="s">
        <v>768</v>
      </c>
      <c r="J29" s="336">
        <f ca="1">ROUND(J26/(1+F40)^F41,0)</f>
        <v>32651</v>
      </c>
      <c r="K29" s="337" t="s">
        <v>769</v>
      </c>
      <c r="L29" s="338"/>
      <c r="M29" s="339">
        <f ca="1">INDIRECT("'数据-取费表'!k"&amp;$G$1)</f>
        <v>25292.940000000002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627</v>
      </c>
      <c r="D30" s="1087" t="s">
        <v>715</v>
      </c>
      <c r="E30" s="3480"/>
      <c r="F30" s="1072"/>
      <c r="G30" s="1383"/>
      <c r="H30" s="2695"/>
      <c r="I30" s="1397"/>
      <c r="J30" s="1398"/>
      <c r="K30" s="2474"/>
      <c r="L30" s="2696"/>
      <c r="M30" s="2697"/>
    </row>
    <row r="31" spans="1:37" ht="18" customHeight="1">
      <c r="A31" s="982" t="s">
        <v>398</v>
      </c>
      <c r="B31" s="302" t="s">
        <v>719</v>
      </c>
      <c r="C31" s="2315">
        <f ca="1">ROUND(IF(AND(项目基本情况!B11="自然人",项目基本情况!B10="北京市"),C6*F31/(1+'数据-取费表'!C42),C32+C33+C34),2)</f>
        <v>487.96</v>
      </c>
      <c r="D31" s="3477" t="s">
        <v>720</v>
      </c>
      <c r="E31" s="3475" t="s">
        <v>770</v>
      </c>
      <c r="F31" s="2314" t="str">
        <f>IF(项目基本情况!B11="企业","——",IF(M47="住宅",IF(F6*F7*F8/12/(1+'数据-取费表'!F30)&gt;100000,4%,2.5%),IF(F6*F7*F8/12/(1+'数据-取费表'!F30)&gt;100000,12%,7%)))</f>
        <v>——</v>
      </c>
      <c r="G31" s="1383"/>
      <c r="H31" s="2806" t="s">
        <v>2307</v>
      </c>
      <c r="I31" s="1397"/>
      <c r="J31" s="1398"/>
      <c r="K31" s="2474"/>
      <c r="L31" s="2696"/>
      <c r="M31" s="2697"/>
    </row>
    <row r="32" spans="1:37" ht="18" customHeight="1">
      <c r="A32" s="982" t="s">
        <v>397</v>
      </c>
      <c r="B32" s="302" t="s">
        <v>723</v>
      </c>
      <c r="C32" s="21">
        <f ca="1">IF(项目基本情况!B11="自然人","——",ROUND(C6*F32/(1+'数据-取费表'!C42),2))</f>
        <v>152.80000000000001</v>
      </c>
      <c r="D32" s="3475" t="s">
        <v>724</v>
      </c>
      <c r="E32" s="302" t="s">
        <v>712</v>
      </c>
      <c r="F32" s="331">
        <f>'数据-取费表'!B41</f>
        <v>5.5000000000000007E-2</v>
      </c>
      <c r="G32" s="1383"/>
      <c r="H32" s="2695"/>
      <c r="I32" s="1397"/>
      <c r="J32" s="1398"/>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333.37</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1.79</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11939.52</v>
      </c>
      <c r="G35" s="1383"/>
      <c r="H35" s="2695"/>
      <c r="I35" s="1397"/>
      <c r="J35" s="1398"/>
      <c r="K35" s="2699"/>
      <c r="L35" s="2698"/>
      <c r="M35" s="2698"/>
    </row>
    <row r="36" spans="1:18" ht="18" customHeight="1">
      <c r="A36" s="1102" t="s">
        <v>402</v>
      </c>
      <c r="B36" s="302" t="s">
        <v>738</v>
      </c>
      <c r="C36" s="21">
        <f ca="1">ROUND(C29*F36,2)</f>
        <v>106.65</v>
      </c>
      <c r="D36" s="3475" t="s">
        <v>771</v>
      </c>
      <c r="E36" s="302" t="s">
        <v>712</v>
      </c>
      <c r="F36" s="328">
        <f ca="1">INDIRECT("'数据-取费表'!Ak"&amp;$G$1)</f>
        <v>5.0000000000000001E-3</v>
      </c>
      <c r="G36" s="1383"/>
      <c r="H36" s="2698"/>
      <c r="I36" s="1397"/>
      <c r="J36" s="1398"/>
      <c r="K36" s="2543"/>
      <c r="L36" s="2698"/>
      <c r="M36" s="2698"/>
    </row>
    <row r="37" spans="1:18" ht="18" customHeight="1">
      <c r="A37" s="982" t="s">
        <v>437</v>
      </c>
      <c r="B37" s="302" t="s">
        <v>742</v>
      </c>
      <c r="C37" s="21">
        <f ca="1">ROUND(C13*F37,2)</f>
        <v>18.13</v>
      </c>
      <c r="D37" s="3475" t="s">
        <v>743</v>
      </c>
      <c r="E37" s="302" t="s">
        <v>744</v>
      </c>
      <c r="F37" s="330">
        <f ca="1">INDIRECT("'数据-取费表'!Al"&amp;$G$1)</f>
        <v>1E-3</v>
      </c>
      <c r="G37" s="1383"/>
      <c r="H37" s="2698"/>
      <c r="I37" s="1397"/>
      <c r="J37" s="1398"/>
      <c r="K37" s="2543"/>
      <c r="L37" s="2698"/>
      <c r="M37" s="2698"/>
    </row>
    <row r="38" spans="1:18" ht="18" customHeight="1" thickBot="1">
      <c r="A38" s="1089" t="s">
        <v>684</v>
      </c>
      <c r="B38" s="1090" t="s">
        <v>728</v>
      </c>
      <c r="C38" s="1091">
        <f ca="1">ROUND(C5*F38,2)</f>
        <v>14.59</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752</v>
      </c>
      <c r="C39" s="310">
        <f ca="1">C5-C30</f>
        <v>2290</v>
      </c>
      <c r="D39" s="1095" t="s">
        <v>773</v>
      </c>
      <c r="E39" s="1096"/>
      <c r="F39" s="1097"/>
      <c r="G39" s="1383"/>
      <c r="H39" s="2698"/>
      <c r="I39" s="1397">
        <f ca="1">C39/C6</f>
        <v>0.7850531367843675</v>
      </c>
      <c r="J39" s="1398"/>
      <c r="K39" s="2702"/>
      <c r="L39" s="2698"/>
      <c r="M39" s="2698"/>
    </row>
    <row r="40" spans="1:18" ht="18" customHeight="1">
      <c r="A40" s="299" t="s">
        <v>395</v>
      </c>
      <c r="B40" s="300" t="s">
        <v>774</v>
      </c>
      <c r="C40" s="301">
        <f ca="1">ROUND(C39*(1-((1+F42)/(1+F40))^F41)/(F40-F42),0)</f>
        <v>7629</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3.78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3016</v>
      </c>
      <c r="D43" s="337" t="s">
        <v>777</v>
      </c>
      <c r="E43" s="338" t="s">
        <v>778</v>
      </c>
      <c r="F43" s="339">
        <f ca="1">INDIRECT("'数据-取费表'!k"&amp;$G$1)</f>
        <v>25292.940000000002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f ca="1">C68-C40</f>
        <v>-8052</v>
      </c>
      <c r="D46" s="1405" t="str">
        <f>C2</f>
        <v>万元</v>
      </c>
      <c r="E46" s="1399"/>
      <c r="F46" s="1399"/>
      <c r="I46" s="1406" t="s">
        <v>810</v>
      </c>
      <c r="J46" s="1407"/>
      <c r="K46" s="1408"/>
      <c r="L46" s="1409">
        <f ca="1">IF(M47="住宅",0,IF(L48&gt;J51,L60,J60))</f>
        <v>1253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40280</v>
      </c>
      <c r="R47" s="1419" t="s">
        <v>818</v>
      </c>
    </row>
    <row r="48" spans="1:18" s="1383" customFormat="1" ht="28.5" thickBot="1">
      <c r="A48" s="1110" t="s">
        <v>438</v>
      </c>
      <c r="B48" s="300" t="s">
        <v>692</v>
      </c>
      <c r="C48" s="3495">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1253</v>
      </c>
      <c r="R48" s="1419" t="s">
        <v>822</v>
      </c>
    </row>
    <row r="49" spans="1:18" s="1383" customFormat="1" ht="13.5" thickBot="1">
      <c r="A49" s="975" t="s">
        <v>439</v>
      </c>
      <c r="B49" s="1370" t="s">
        <v>779</v>
      </c>
      <c r="C49" s="1114">
        <f ca="1">ROUND(F49*F51*F50*(1-F52)/10000,0)</f>
        <v>0</v>
      </c>
      <c r="D49" s="1055" t="s">
        <v>2105</v>
      </c>
      <c r="E49" s="1371" t="s">
        <v>780</v>
      </c>
      <c r="F49" s="1060"/>
      <c r="G49" s="1424"/>
      <c r="H49" s="723"/>
      <c r="I49" s="1420" t="s">
        <v>823</v>
      </c>
      <c r="J49" s="1425">
        <f>'数据-取费表'!N17</f>
        <v>2015</v>
      </c>
      <c r="K49" s="1422" t="s">
        <v>824</v>
      </c>
      <c r="L49" s="1426"/>
      <c r="O49" s="1427" t="s">
        <v>405</v>
      </c>
      <c r="P49" s="1418" t="s">
        <v>825</v>
      </c>
      <c r="Q49" s="1419">
        <f ca="1">C29</f>
        <v>21330</v>
      </c>
      <c r="R49" s="1419" t="s">
        <v>818</v>
      </c>
    </row>
    <row r="50" spans="1:18" s="1383" customFormat="1" ht="13.5" thickBot="1">
      <c r="A50" s="976"/>
      <c r="B50" s="979"/>
      <c r="C50" s="1118"/>
      <c r="D50" s="953"/>
      <c r="E50" s="1056" t="s">
        <v>697</v>
      </c>
      <c r="F50" s="1057">
        <f ca="1">F7</f>
        <v>25292.940000000002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18721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3" t="s">
        <v>837</v>
      </c>
      <c r="L53" s="3704"/>
      <c r="O53" s="1417" t="s">
        <v>409</v>
      </c>
      <c r="P53" s="1418" t="s">
        <v>838</v>
      </c>
      <c r="Q53" s="1419">
        <f ca="1">Q47+Q48</f>
        <v>41533</v>
      </c>
      <c r="R53" s="1419" t="s">
        <v>410</v>
      </c>
    </row>
    <row r="54" spans="1:18" s="1383" customFormat="1" ht="13.5" thickBot="1">
      <c r="A54" s="1153"/>
      <c r="B54" s="1366" t="s">
        <v>679</v>
      </c>
      <c r="C54" s="959"/>
      <c r="D54" s="1365"/>
      <c r="E54" s="348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82"/>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18131</v>
      </c>
      <c r="D56" s="1446"/>
      <c r="E56" s="1447"/>
      <c r="F56" s="1439"/>
      <c r="I56" s="1448" t="s">
        <v>842</v>
      </c>
      <c r="J56" s="1449" t="s">
        <v>3387</v>
      </c>
      <c r="K56" s="1420" t="s">
        <v>843</v>
      </c>
      <c r="L56" s="1423" t="str">
        <f ca="1">IF(L48&lt;J51,"——",L48-J53)</f>
        <v>——</v>
      </c>
      <c r="O56" s="1417" t="s">
        <v>403</v>
      </c>
      <c r="P56" s="1418" t="s">
        <v>817</v>
      </c>
      <c r="Q56" s="1419">
        <f ca="1">C40+J29</f>
        <v>40280</v>
      </c>
      <c r="R56" s="1419" t="s">
        <v>818</v>
      </c>
    </row>
    <row r="57" spans="1:18" s="1383" customFormat="1" ht="24.75" thickBot="1">
      <c r="A57" s="1450"/>
      <c r="B57" s="950" t="s">
        <v>767</v>
      </c>
      <c r="C57" s="238">
        <f ca="1">C29</f>
        <v>21330</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127</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8639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1253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1.79</v>
      </c>
      <c r="D62" s="965" t="s">
        <v>786</v>
      </c>
      <c r="E62" s="950" t="s">
        <v>787</v>
      </c>
      <c r="F62" s="325">
        <f t="shared" si="0"/>
        <v>1.5</v>
      </c>
      <c r="I62" s="1461" t="s">
        <v>858</v>
      </c>
      <c r="J62" s="1462" t="s">
        <v>859</v>
      </c>
      <c r="K62" s="1462" t="s">
        <v>860</v>
      </c>
      <c r="L62" s="1462" t="s">
        <v>861</v>
      </c>
      <c r="M62" s="1463" t="s">
        <v>862</v>
      </c>
      <c r="O62" s="1417" t="s">
        <v>409</v>
      </c>
      <c r="P62" s="1418" t="s">
        <v>863</v>
      </c>
      <c r="Q62" s="1419">
        <f ca="1">Q56+Q57</f>
        <v>40280</v>
      </c>
      <c r="R62" s="1419" t="s">
        <v>410</v>
      </c>
    </row>
    <row r="63" spans="1:18" s="1383" customFormat="1" ht="13.5" thickBot="1">
      <c r="A63" s="326"/>
      <c r="B63" s="956"/>
      <c r="C63" s="26"/>
      <c r="D63" s="966"/>
      <c r="E63" s="950" t="s">
        <v>788</v>
      </c>
      <c r="F63" s="303">
        <f t="shared" ca="1" si="0"/>
        <v>11939.52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106.65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18.13</v>
      </c>
      <c r="D65" s="964" t="s">
        <v>743</v>
      </c>
      <c r="E65" s="950" t="s">
        <v>744</v>
      </c>
      <c r="F65" s="330">
        <f t="shared" ca="1" si="0"/>
        <v>1E-3</v>
      </c>
      <c r="I65" s="1461" t="s">
        <v>867</v>
      </c>
      <c r="J65" s="1462">
        <v>40</v>
      </c>
      <c r="K65" s="1462">
        <v>30</v>
      </c>
      <c r="L65" s="1462">
        <v>50</v>
      </c>
      <c r="M65" s="1464">
        <v>0.02</v>
      </c>
      <c r="O65" s="1417" t="s">
        <v>403</v>
      </c>
      <c r="P65" s="1418" t="s">
        <v>868</v>
      </c>
      <c r="Q65" s="1419">
        <f ca="1">C40+J29</f>
        <v>40280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-127</v>
      </c>
      <c r="D67" s="963" t="s">
        <v>753</v>
      </c>
      <c r="E67" s="968"/>
      <c r="F67" s="969"/>
      <c r="O67" s="1427" t="s">
        <v>405</v>
      </c>
      <c r="P67" s="1418" t="s">
        <v>850</v>
      </c>
      <c r="Q67" s="1465">
        <f ca="1">L51</f>
        <v>18721</v>
      </c>
      <c r="R67" s="1419" t="s">
        <v>870</v>
      </c>
    </row>
    <row r="68" spans="1:18" s="1383" customFormat="1" ht="16.5" thickBot="1">
      <c r="A68" s="947" t="s">
        <v>395</v>
      </c>
      <c r="B68" s="948" t="s">
        <v>774</v>
      </c>
      <c r="C68" s="301">
        <f ca="1">ROUND(C67*(1-((1+F70)/(1+F68))^F69)/(F68-F70),0)</f>
        <v>-423</v>
      </c>
      <c r="D68" s="965" t="s">
        <v>758</v>
      </c>
      <c r="E68" s="950" t="s">
        <v>759</v>
      </c>
      <c r="F68" s="312">
        <f ca="1">F40</f>
        <v>5.5E-2</v>
      </c>
      <c r="O68" s="1427" t="s">
        <v>406</v>
      </c>
      <c r="P68" s="1466" t="s">
        <v>871</v>
      </c>
      <c r="Q68" s="1419">
        <f ca="1">ROUND(Q69-Q70*Q71,0)</f>
        <v>1021</v>
      </c>
      <c r="R68" s="1419" t="s">
        <v>414</v>
      </c>
    </row>
    <row r="69" spans="1:18" s="1383" customFormat="1" ht="13.5" thickBot="1">
      <c r="A69" s="951"/>
      <c r="B69" s="952"/>
      <c r="C69" s="306"/>
      <c r="D69" s="970" t="s">
        <v>762</v>
      </c>
      <c r="E69" s="950" t="s">
        <v>763</v>
      </c>
      <c r="F69" s="333">
        <f ca="1">F41</f>
        <v>3.78</v>
      </c>
      <c r="O69" s="1427" t="s">
        <v>411</v>
      </c>
      <c r="P69" s="1466" t="s">
        <v>872</v>
      </c>
      <c r="Q69" s="1419">
        <f ca="1">C39</f>
        <v>2290</v>
      </c>
      <c r="R69" s="1419" t="s">
        <v>818</v>
      </c>
    </row>
    <row r="70" spans="1:18" s="1383" customFormat="1" ht="13.5" thickBot="1">
      <c r="A70" s="954"/>
      <c r="B70" s="955"/>
      <c r="C70" s="310"/>
      <c r="D70" s="966"/>
      <c r="E70" s="950" t="s">
        <v>766</v>
      </c>
      <c r="F70" s="1054"/>
      <c r="O70" s="1427" t="s">
        <v>412</v>
      </c>
      <c r="P70" s="1466" t="s">
        <v>873</v>
      </c>
      <c r="Q70" s="1419">
        <f ca="1">C13</f>
        <v>18131</v>
      </c>
      <c r="R70" s="1419" t="s">
        <v>818</v>
      </c>
    </row>
    <row r="71" spans="1:18" s="1383" customFormat="1" ht="13.5" thickBot="1">
      <c r="A71" s="971" t="s">
        <v>396</v>
      </c>
      <c r="B71" s="972" t="s">
        <v>776</v>
      </c>
      <c r="C71" s="336">
        <f ca="1">ROUND(C68*10000/F71,0)</f>
        <v>-167</v>
      </c>
      <c r="D71" s="973" t="s">
        <v>777</v>
      </c>
      <c r="E71" s="974" t="s">
        <v>778</v>
      </c>
      <c r="F71" s="339">
        <f ca="1">F43</f>
        <v>25292.940000000002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1269</v>
      </c>
      <c r="D75" s="1383"/>
      <c r="E75" s="1383"/>
      <c r="F75" s="1383"/>
      <c r="K75" s="1401"/>
      <c r="L75" s="1383"/>
      <c r="O75" s="1417" t="s">
        <v>409</v>
      </c>
      <c r="P75" s="1418" t="s">
        <v>838</v>
      </c>
      <c r="Q75" s="1419">
        <f ca="1">Q65+Q66</f>
        <v>40280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0.44599999999999995</v>
      </c>
    </row>
    <row r="80" spans="1:18">
      <c r="B80" s="340" t="s">
        <v>800</v>
      </c>
      <c r="C80" s="274">
        <f ca="1">ROUND(C75/C39,3)</f>
        <v>0.55400000000000005</v>
      </c>
    </row>
    <row r="81" spans="2:3">
      <c r="B81" s="270" t="s">
        <v>801</v>
      </c>
      <c r="C81" s="238"/>
    </row>
    <row r="82" spans="2:3">
      <c r="B82" s="273" t="s">
        <v>802</v>
      </c>
      <c r="C82" s="275">
        <f ca="1">1-C83</f>
        <v>-1.3769999999999998</v>
      </c>
    </row>
    <row r="83" spans="2:3">
      <c r="B83" s="273" t="s">
        <v>803</v>
      </c>
      <c r="C83" s="274">
        <f ca="1">ROUND(C13/C40,3)</f>
        <v>2.3769999999999998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804" t="s">
        <v>2081</v>
      </c>
      <c r="D1" s="3805"/>
      <c r="E1" s="3805"/>
      <c r="F1" s="3805"/>
      <c r="G1" s="3805"/>
      <c r="H1" s="3805"/>
      <c r="I1" s="3805"/>
      <c r="J1" s="3805"/>
      <c r="K1" s="3805"/>
      <c r="L1" s="3805"/>
      <c r="M1" s="3805"/>
      <c r="N1" s="3805"/>
      <c r="O1" s="3805"/>
      <c r="P1" s="3805"/>
      <c r="Q1" s="3805"/>
      <c r="R1" s="3805"/>
      <c r="S1" s="3806"/>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2090</v>
      </c>
      <c r="B17" s="2148"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50"/>
      <c r="E20" s="1340"/>
      <c r="F20" s="983" t="e">
        <f ca="1">SUMIF(INDIRECT("'"&amp;H20&amp;"'"&amp;"!A:A"),"承租人权益价值",INDIRECT("'"&amp;H20&amp;"'"&amp;"!c:c"))</f>
        <v>#REF!</v>
      </c>
      <c r="G20" s="983" t="s">
        <v>2094</v>
      </c>
      <c r="H20" s="2151"/>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1"/>
      <c r="G1" s="2791"/>
      <c r="H1" s="2791"/>
      <c r="I1" s="2791"/>
      <c r="J1" s="2791"/>
      <c r="K1" s="2791"/>
      <c r="L1" s="2791"/>
      <c r="M1" s="2791"/>
      <c r="N1" s="2791"/>
      <c r="O1" s="2791"/>
      <c r="P1" s="2791"/>
    </row>
    <row r="2" spans="1:16" ht="15.75">
      <c r="A2" s="2144" t="s">
        <v>2070</v>
      </c>
      <c r="B2" s="2601">
        <f ca="1">SUMIF(B6:B13,"&lt;&gt;#ref!",B6:B13)</f>
        <v>7816</v>
      </c>
      <c r="C2" s="2144" t="s">
        <v>2071</v>
      </c>
      <c r="D2" s="2144" t="s">
        <v>2072</v>
      </c>
      <c r="E2" s="2611">
        <f ca="1">SUMIF(E6:E13,"&lt;&gt;#ref!",E6:E13)</f>
        <v>36780.86</v>
      </c>
      <c r="F2" s="2791"/>
      <c r="G2" s="2791"/>
      <c r="H2" s="2791"/>
      <c r="I2" s="2791"/>
      <c r="J2" s="2791"/>
      <c r="K2" s="2791"/>
      <c r="L2" s="2791"/>
      <c r="M2" s="2791"/>
      <c r="N2" s="2791"/>
      <c r="O2" s="2791"/>
      <c r="P2" s="2791"/>
    </row>
    <row r="3" spans="1:16" ht="15.75">
      <c r="A3" s="2144" t="s">
        <v>2073</v>
      </c>
      <c r="B3" s="2601">
        <f ca="1">ROUND(B2*10000/E2,0)</f>
        <v>2125</v>
      </c>
      <c r="C3" s="2144" t="s">
        <v>2079</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2074</v>
      </c>
      <c r="B5" s="2609" t="s">
        <v>2075</v>
      </c>
      <c r="C5" s="2145"/>
      <c r="D5" s="2791"/>
      <c r="E5" s="2610" t="s">
        <v>2076</v>
      </c>
      <c r="F5" s="2791"/>
      <c r="G5" s="2791"/>
      <c r="H5" s="2791"/>
      <c r="I5" s="2791"/>
      <c r="J5" s="2791"/>
      <c r="K5" s="2791"/>
      <c r="L5" s="2791"/>
      <c r="M5" s="2791"/>
      <c r="N5" s="2791"/>
      <c r="O5" s="2791"/>
      <c r="P5" s="2791"/>
    </row>
    <row r="6" spans="1:16" ht="15.75">
      <c r="A6" s="2608" t="s">
        <v>2077</v>
      </c>
      <c r="B6" s="2601">
        <f ca="1">SUMIF(INDIRECT("'"&amp;A6&amp;"'"&amp;"!A:A"),"总价",INDIRECT("'"&amp;A6&amp;"'"&amp;"!B:B"))</f>
        <v>7816</v>
      </c>
      <c r="C6" s="2144" t="s">
        <v>2071</v>
      </c>
      <c r="D6" s="2791"/>
      <c r="E6" s="2611">
        <f ca="1">SUMIF(INDIRECT("'"&amp;A6&amp;"'"&amp;"!C:C"),"建筑面积",INDIRECT("'"&amp;A6&amp;"'"&amp;"!D:D"))</f>
        <v>36780.86</v>
      </c>
      <c r="F6" s="2791"/>
      <c r="G6" s="2791"/>
      <c r="H6" s="2791"/>
      <c r="I6" s="2791"/>
      <c r="J6" s="2791"/>
      <c r="K6" s="2791"/>
      <c r="L6" s="2791"/>
      <c r="M6" s="2791"/>
      <c r="N6" s="2791"/>
      <c r="O6" s="2791"/>
      <c r="P6" s="2791"/>
    </row>
    <row r="7" spans="1:16" ht="15.75">
      <c r="A7" s="2608"/>
      <c r="B7" s="2601" t="e">
        <f ca="1">SUMIF(INDIRECT("'"&amp;A7&amp;"'"&amp;"!A:A"),"总价",INDIRECT("'"&amp;A7&amp;"'"&amp;"!B:B"))</f>
        <v>#REF!</v>
      </c>
      <c r="C7" s="2144" t="s">
        <v>2071</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2071</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2071</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2071</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2071</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2071</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2071</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7" sqref="H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1923</v>
      </c>
      <c r="B1" s="197"/>
      <c r="C1" s="201" t="s">
        <v>1924</v>
      </c>
      <c r="D1" s="342">
        <f>SUM(D33:D34,D37:D42)</f>
        <v>36780.86</v>
      </c>
      <c r="E1" s="1994"/>
      <c r="F1" s="1994"/>
      <c r="G1" s="1994"/>
      <c r="H1" s="1994"/>
      <c r="I1" s="1994"/>
      <c r="J1" s="1994"/>
      <c r="K1" s="1119"/>
      <c r="L1" s="1995" t="s">
        <v>1925</v>
      </c>
      <c r="M1" s="863">
        <f>SUMPRODUCT((区片价!B5:B9=I2)*(区片价!C3:G3=E2)*(区片价!C5:G9))</f>
        <v>0</v>
      </c>
      <c r="N1" s="866">
        <f>SUMPRODUCT((因素修正幅度!B5:B9=I2)*(因素修正幅度!C3:G3=E2)*(因素修正幅度!C5:G9))</f>
        <v>0</v>
      </c>
      <c r="O1" s="1996"/>
      <c r="P1" s="1996"/>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7816</v>
      </c>
      <c r="C2" s="1998" t="s">
        <v>1932</v>
      </c>
      <c r="D2" s="1999" t="s">
        <v>1933</v>
      </c>
      <c r="E2" s="3420" t="s">
        <v>3391</v>
      </c>
      <c r="F2" s="1999" t="s">
        <v>1934</v>
      </c>
      <c r="G2" s="2000" t="str">
        <f>IF(E2="商业",项目基本情况!B37,IF(E2="办公",项目基本情况!C37,IF(E2="住宅",项目基本情况!D37,IF(E2="工业",项目基本情况!E37,项目基本情况!F37))))</f>
        <v>九级</v>
      </c>
      <c r="H2" s="1999" t="s">
        <v>1935</v>
      </c>
      <c r="I2" s="2000" t="str">
        <f>IF(E2="商业",项目基本情况!B38,IF(E2="办公",项目基本情况!C38,IF(E2="住宅",项目基本情况!D38,IF(E2="工业",项目基本情况!E38,项目基本情况!F38))))</f>
        <v>Ⅸ-怀3</v>
      </c>
      <c r="J2" s="2001"/>
      <c r="K2" s="1119"/>
      <c r="L2" s="2002" t="s">
        <v>1936</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1.5418000000000001</v>
      </c>
      <c r="T2" s="3359">
        <f t="shared" ref="T2:T16" si="0">ROUND($C$5*$C$22*$C$23*$C$24*S2*$C$28,0)</f>
        <v>3435</v>
      </c>
      <c r="U2" s="1212"/>
      <c r="V2" s="3359">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2125</v>
      </c>
      <c r="C3" s="1998" t="s">
        <v>1938</v>
      </c>
      <c r="D3" s="1999" t="s">
        <v>1939</v>
      </c>
      <c r="E3" s="3418" t="s">
        <v>2459</v>
      </c>
      <c r="F3" s="2003" t="s">
        <v>3393</v>
      </c>
      <c r="G3" s="752">
        <f>IF(F3="宗地容积率",'数据-汇总表'!I4,IF(F3="估价对象容积率",'数据-汇总表'!I6,'数据-汇总表'!I7))</f>
        <v>1.74</v>
      </c>
      <c r="H3" s="170" t="s">
        <v>1940</v>
      </c>
      <c r="I3" s="775"/>
      <c r="J3" s="2001" t="s">
        <v>1941</v>
      </c>
      <c r="K3" s="1119"/>
      <c r="L3" s="2002" t="s">
        <v>1942</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1.1883999999999999</v>
      </c>
      <c r="T3" s="3359">
        <f t="shared" si="0"/>
        <v>2648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814"/>
      <c r="B4" s="3815"/>
      <c r="C4" s="3815"/>
      <c r="D4" s="3816"/>
      <c r="E4" s="3816"/>
      <c r="F4" s="3816"/>
      <c r="G4" s="3816"/>
      <c r="H4" s="3816"/>
      <c r="I4" s="3816"/>
      <c r="J4" s="3817"/>
      <c r="K4" s="1119"/>
      <c r="L4" s="2002" t="s">
        <v>1943</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0.96940000000000004</v>
      </c>
      <c r="T4" s="3359">
        <f t="shared" si="0"/>
        <v>2160</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3">
        <f>ROUND(IF(E2="商业",C6*C7*C17+C20,(IF(E2="住宅",C6*C13*C17+C20,IF(E2="办公",C6*C12*C17+C20,C6+C20)))),0)</f>
        <v>3390</v>
      </c>
      <c r="D5" s="1338">
        <f>ROUND(C6*C17+C20,0)</f>
        <v>3390</v>
      </c>
      <c r="E5" s="1338"/>
      <c r="F5" s="2006"/>
      <c r="G5" s="2007"/>
      <c r="H5" s="2007"/>
      <c r="I5" s="2007"/>
      <c r="J5" s="2008"/>
      <c r="K5" s="2009"/>
      <c r="L5" s="2002" t="s">
        <v>1945</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0.82299999999999995</v>
      </c>
      <c r="T5" s="3359">
        <f t="shared" si="0"/>
        <v>1834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4">
        <f>SUMIF(L1:L12,G2,M1:M12)</f>
        <v>3390</v>
      </c>
      <c r="D6" s="2016"/>
      <c r="E6" s="2017"/>
      <c r="F6" s="2017"/>
      <c r="G6" s="2018"/>
      <c r="H6" s="2018"/>
      <c r="I6" s="2018"/>
      <c r="J6" s="2019"/>
      <c r="K6" s="1383"/>
      <c r="L6" s="2002" t="s">
        <v>1948</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0.74980000000000002</v>
      </c>
      <c r="T6" s="3359">
        <f t="shared" si="0"/>
        <v>1670</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3238</v>
      </c>
      <c r="B7" s="2020" t="s">
        <v>1949</v>
      </c>
      <c r="C7" s="755" t="e">
        <f>IF(C8="不临65条商业街",1,ROUND(1+(1.6*E8+1.2*E9+0.8*E10+0.4*E11)*C9,4))</f>
        <v>#DIV/0!</v>
      </c>
      <c r="D7" s="2021" t="s">
        <v>1950</v>
      </c>
      <c r="E7" s="776"/>
      <c r="F7" s="2022"/>
      <c r="G7" s="2023"/>
      <c r="H7" s="2023"/>
      <c r="I7" s="2023"/>
      <c r="J7" s="2024"/>
      <c r="K7" s="1383"/>
      <c r="L7" s="2002" t="s">
        <v>1951</v>
      </c>
      <c r="M7" s="864">
        <f>SUMPRODUCT((区片价!B190:B233=I2)*(区片价!C3:G3=E2)*(区片价!C190:G233))</f>
        <v>0</v>
      </c>
      <c r="N7" s="866">
        <f>SUMPRODUCT((因素修正幅度!B190:B233=I2)*(因素修正幅度!C3:G3=E2)*(因素修正幅度!C190:G233))</f>
        <v>0</v>
      </c>
      <c r="O7" s="1119"/>
      <c r="P7" s="1119"/>
      <c r="Q7" s="1119"/>
      <c r="R7" s="1211">
        <v>6</v>
      </c>
      <c r="S7" s="3417"/>
      <c r="T7" s="3359">
        <f t="shared" si="0"/>
        <v>0</v>
      </c>
      <c r="U7" s="1212"/>
      <c r="V7" s="3359">
        <f t="shared" si="1"/>
        <v>0</v>
      </c>
      <c r="W7" s="1357" t="s">
        <v>1952</v>
      </c>
      <c r="X7" s="1213" t="str">
        <f>G2</f>
        <v>九级</v>
      </c>
      <c r="Y7" s="1213" t="s">
        <v>1953</v>
      </c>
      <c r="Z7" s="1214">
        <f>G3</f>
        <v>1.74</v>
      </c>
      <c r="AA7" s="1215"/>
      <c r="AB7" s="1215"/>
      <c r="AC7" s="1216"/>
      <c r="AD7" s="1217"/>
      <c r="AE7" s="1217"/>
      <c r="AF7" s="1217"/>
      <c r="AG7" s="1217"/>
      <c r="AH7" s="1217"/>
      <c r="AI7" s="1217"/>
      <c r="AJ7" s="1218"/>
    </row>
    <row r="8" spans="1:36" ht="15">
      <c r="A8" s="3297"/>
      <c r="B8" s="170" t="s">
        <v>1954</v>
      </c>
      <c r="C8" s="2025"/>
      <c r="D8" s="756" t="s">
        <v>112</v>
      </c>
      <c r="E8" s="757" t="e">
        <f>ROUND(C11/E7,4)</f>
        <v>#DIV/0!</v>
      </c>
      <c r="F8" s="2026" t="s">
        <v>1955</v>
      </c>
      <c r="G8" s="2027"/>
      <c r="H8" s="2027"/>
      <c r="I8" s="2027"/>
      <c r="J8" s="2028"/>
      <c r="K8" s="1119"/>
      <c r="L8" s="2002" t="s">
        <v>1956</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811" t="s">
        <v>1957</v>
      </c>
      <c r="X8" s="3812"/>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7"/>
      <c r="B9" s="170" t="s">
        <v>1970</v>
      </c>
      <c r="C9" s="758">
        <f>SUMIF(修正!C71:C138,C8,修正!E71:E138)</f>
        <v>0</v>
      </c>
      <c r="D9" s="171" t="s">
        <v>113</v>
      </c>
      <c r="E9" s="171" t="e">
        <f>ROUND(C11/E7,4)</f>
        <v>#DIV/0!</v>
      </c>
      <c r="F9" s="2026" t="s">
        <v>1971</v>
      </c>
      <c r="G9" s="2027"/>
      <c r="H9" s="2027"/>
      <c r="I9" s="2027"/>
      <c r="J9" s="2028"/>
      <c r="K9" s="1119"/>
      <c r="L9" s="2002" t="s">
        <v>1972</v>
      </c>
      <c r="M9" s="864">
        <f>SUMPRODUCT((区片价!B277:B326=I2)*(区片价!C3:G3=E2)*(区片价!C277:G326))</f>
        <v>3390</v>
      </c>
      <c r="N9" s="866">
        <f>SUMPRODUCT((因素修正幅度!B277:B326=I2)*(因素修正幅度!C3:G3=E2)*(因素修正幅度!C277:G326))</f>
        <v>0.15</v>
      </c>
      <c r="O9" s="1119"/>
      <c r="P9" s="1119"/>
      <c r="Q9" s="1119"/>
      <c r="R9" s="1211">
        <v>8</v>
      </c>
      <c r="S9" s="1212"/>
      <c r="T9" s="3359">
        <f t="shared" si="0"/>
        <v>0</v>
      </c>
      <c r="U9" s="1212"/>
      <c r="V9" s="3359">
        <f t="shared" si="1"/>
        <v>0</v>
      </c>
      <c r="W9" s="3813"/>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1973</v>
      </c>
      <c r="C10" s="171">
        <f>SUMIF(修正!C71:C138,C8,修正!F71:F138)</f>
        <v>0</v>
      </c>
      <c r="D10" s="171" t="s">
        <v>114</v>
      </c>
      <c r="E10" s="171" t="e">
        <f>ROUND(C11/E7,4)</f>
        <v>#DIV/0!</v>
      </c>
      <c r="F10" s="2026" t="s">
        <v>1974</v>
      </c>
      <c r="G10" s="2027"/>
      <c r="H10" s="2027"/>
      <c r="I10" s="2027"/>
      <c r="J10" s="2028"/>
      <c r="K10" s="1119"/>
      <c r="L10" s="2002"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81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1976</v>
      </c>
      <c r="C11" s="759">
        <f>C10/4</f>
        <v>0</v>
      </c>
      <c r="D11" s="759" t="s">
        <v>115</v>
      </c>
      <c r="E11" s="759" t="e">
        <f>ROUND(C11/E7,4)</f>
        <v>#DIV/0!</v>
      </c>
      <c r="F11" s="2030" t="s">
        <v>1977</v>
      </c>
      <c r="G11" s="2031"/>
      <c r="H11" s="2031"/>
      <c r="I11" s="2031"/>
      <c r="J11" s="2032"/>
      <c r="K11" s="1119"/>
      <c r="L11" s="2002"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3243</v>
      </c>
      <c r="B13" s="2033" t="s">
        <v>1979</v>
      </c>
      <c r="C13" s="755">
        <f>ROUND(C16*D16*E16*F16*G16*H16*I16*J16,4)</f>
        <v>0</v>
      </c>
      <c r="D13" s="2034" t="s">
        <v>1980</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1982</v>
      </c>
      <c r="C14" s="2040" t="s">
        <v>1983</v>
      </c>
      <c r="D14" s="1349" t="s">
        <v>1984</v>
      </c>
      <c r="E14" s="27" t="s">
        <v>1985</v>
      </c>
      <c r="F14" s="3310" t="s">
        <v>3244</v>
      </c>
      <c r="G14" s="3310" t="s">
        <v>3244</v>
      </c>
      <c r="H14" s="3310" t="s">
        <v>3244</v>
      </c>
      <c r="I14" s="3310" t="s">
        <v>3244</v>
      </c>
      <c r="J14" s="3310" t="s">
        <v>3244</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1986</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3249</v>
      </c>
      <c r="E18" s="3327"/>
      <c r="F18" s="3322" t="s">
        <v>3252</v>
      </c>
      <c r="G18" s="3326">
        <f>ROUND(1-(1/(POWER(1+G24,E18))),4)</f>
        <v>0</v>
      </c>
      <c r="H18" s="3322" t="s">
        <v>3254</v>
      </c>
      <c r="I18" s="3326">
        <f>ROUND(1-(1/(POWER(1+G24,J24))),4)</f>
        <v>0.91279999999999994</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3250</v>
      </c>
      <c r="E19" s="3336"/>
      <c r="F19" s="3337" t="s">
        <v>3253</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18" t="s">
        <v>3255</v>
      </c>
      <c r="B20" s="167" t="s">
        <v>1991</v>
      </c>
      <c r="C20" s="3323">
        <f>ROUND(IF(F21="与级别开发程度一致",0,(G21-E21)/C21),0)</f>
        <v>0</v>
      </c>
      <c r="D20" s="3339" t="s">
        <v>1995</v>
      </c>
      <c r="E20" s="3340"/>
      <c r="F20" s="3824" t="s">
        <v>1992</v>
      </c>
      <c r="G20" s="3825"/>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19"/>
      <c r="B21" s="2163" t="s">
        <v>1994</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1997</v>
      </c>
      <c r="C22" s="2159">
        <f>SUMIF(修正!C20:C51,E3,修正!E20:E51)</f>
        <v>0.8</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3" t="s">
        <v>1999</v>
      </c>
      <c r="E23" s="761">
        <v>44197</v>
      </c>
      <c r="F23" s="2053" t="s">
        <v>2000</v>
      </c>
      <c r="G23" s="762">
        <f>'数据-取费表'!B2</f>
        <v>45372</v>
      </c>
      <c r="H23" s="3341" t="s">
        <v>3256</v>
      </c>
      <c r="I23" s="3342" t="str">
        <f>IF(H23="季度增幅（自定义）",SUMIF(N25:N28,E2,O25:O28),"")</f>
        <v/>
      </c>
      <c r="J23" s="3444" t="s">
        <v>3395</v>
      </c>
      <c r="K23" s="1125"/>
      <c r="L23" s="2054" t="s">
        <v>2001</v>
      </c>
      <c r="M23" s="1327">
        <f>ROUND(SUMIF(地价!B2:G2,E2,地价!B16:G16),0)</f>
        <v>0</v>
      </c>
      <c r="N23" s="2055" t="s">
        <v>2002</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2003</v>
      </c>
      <c r="C24" s="764">
        <f>ROUND(POWER(1+G24,J24-I24)*(POWER(1+G24,I24)-1)/(POWER(1+G24,J24)-1),4)</f>
        <v>0.79779999999999995</v>
      </c>
      <c r="D24" s="2059" t="s">
        <v>2004</v>
      </c>
      <c r="E24" s="1334">
        <f>存贷款利率!E24/100</f>
        <v>4.3499999999999997E-2</v>
      </c>
      <c r="F24" s="2059" t="s">
        <v>1996</v>
      </c>
      <c r="G24" s="768">
        <f>SUMIF(M30:Q30,E2,M33:Q33)</f>
        <v>0.05</v>
      </c>
      <c r="H24" s="2059" t="s">
        <v>2005</v>
      </c>
      <c r="I24" s="769">
        <f>SUMIF('数据-取费表'!C6:C15,E2,'数据-取费表'!F6:F15)/COUNTIF('数据-取费表'!C6:C15,E2)</f>
        <v>26.7</v>
      </c>
      <c r="J24" s="770">
        <f>IF(E2="住宅",70,IF(E2="商业",40,50))</f>
        <v>50</v>
      </c>
      <c r="K24" s="1125"/>
      <c r="L24" s="2060" t="s">
        <v>2006</v>
      </c>
      <c r="M24" s="1328">
        <f>ROUND(SUMPRODUCT((地价!A4:A16=YEAR(G23)&amp;"-"&amp;ROUNDUP(MONTH(G23)/3,0))*(地价!B2:G2=E2)*(地价!B4:G16)),0)</f>
        <v>0</v>
      </c>
      <c r="N24" s="2061" t="s">
        <v>2007</v>
      </c>
      <c r="O24" s="2062" t="s">
        <v>2008</v>
      </c>
      <c r="P24" s="2063" t="s">
        <v>2009</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0.95369999999999999</v>
      </c>
      <c r="D25" s="2066"/>
      <c r="E25" s="2066"/>
      <c r="F25" s="2066"/>
      <c r="G25" s="2066"/>
      <c r="H25" s="2066"/>
      <c r="I25" s="2066"/>
      <c r="J25" s="2067"/>
      <c r="K25" s="1125"/>
      <c r="L25" s="2786"/>
      <c r="M25" s="2786"/>
      <c r="N25" s="2068" t="s">
        <v>2010</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2011</v>
      </c>
      <c r="B26" s="2069" t="s">
        <v>2012</v>
      </c>
      <c r="C26" s="3343" t="s">
        <v>3257</v>
      </c>
      <c r="D26" s="1351">
        <f>IF(E26=G26,F26,IF(G3&lt;10,ROUND(F26+(H26-F26)*(G3-E26)/(G26-E26),4),"——"))</f>
        <v>0.95369999999999999</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3" t="s">
        <v>3258</v>
      </c>
      <c r="J26" s="772" t="str">
        <f>IF(G3&gt;=10,D115,"——")</f>
        <v>——</v>
      </c>
      <c r="K26" s="1125"/>
      <c r="L26" s="2786"/>
      <c r="M26" s="2786"/>
      <c r="N26" s="2068" t="s">
        <v>2013</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2014</v>
      </c>
      <c r="B27" s="2070" t="s">
        <v>2015</v>
      </c>
      <c r="C27" s="841">
        <f>ROUND(IF(I3&lt;6,SUMPRODUCT((B106:B110=I3)*(C105:N105=G2)*(C106:N110)),SUMIF(C105:N105,G2,C112:N112)),4)</f>
        <v>0</v>
      </c>
      <c r="D27" s="2045"/>
      <c r="E27" s="2045"/>
      <c r="F27" s="2071"/>
      <c r="G27" s="2072"/>
      <c r="H27" s="2073"/>
      <c r="I27" s="2074"/>
      <c r="J27" s="2075"/>
      <c r="K27" s="1119"/>
      <c r="L27" s="1996"/>
      <c r="M27" s="1996"/>
      <c r="N27" s="2068" t="s">
        <v>2016</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2017</v>
      </c>
      <c r="C28" s="760">
        <f>SUMIF(A47:A101,E2,B47:B101)</f>
        <v>1</v>
      </c>
      <c r="D28" s="2051"/>
      <c r="E28" s="2076"/>
      <c r="F28" s="2076"/>
      <c r="G28" s="2076"/>
      <c r="H28" s="2076"/>
      <c r="I28" s="2076"/>
      <c r="J28" s="2077"/>
      <c r="K28" s="1125"/>
      <c r="L28" s="2786"/>
      <c r="M28" s="2786"/>
      <c r="N28" s="2078"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2019</v>
      </c>
      <c r="C29" s="765"/>
      <c r="D29" s="2023"/>
      <c r="E29" s="2023"/>
      <c r="F29" s="2080"/>
      <c r="G29" s="2023"/>
      <c r="H29" s="2023"/>
      <c r="I29" s="2023"/>
      <c r="J29" s="2024"/>
      <c r="K29" s="1119"/>
      <c r="L29" s="1996"/>
      <c r="M29" s="1996"/>
      <c r="N29" s="2783" t="s">
        <v>2020</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2021</v>
      </c>
      <c r="C30" s="2320">
        <f>IF(B25="容积率修正",E33+SUM(E37:E42),SUM(V2:V16)+SUM(E37:E42))</f>
        <v>7816</v>
      </c>
      <c r="D30" s="2082"/>
      <c r="E30" s="2045"/>
      <c r="F30" s="2083"/>
      <c r="G30" s="2045"/>
      <c r="H30" s="2045"/>
      <c r="I30" s="2045"/>
      <c r="J30" s="2084"/>
      <c r="K30" s="1119"/>
      <c r="L30" s="3349" t="s">
        <v>1933</v>
      </c>
      <c r="M30" s="3350" t="s">
        <v>1987</v>
      </c>
      <c r="N30" s="3350" t="s">
        <v>1988</v>
      </c>
      <c r="O30" s="3350" t="s">
        <v>1989</v>
      </c>
      <c r="P30" s="3350" t="s">
        <v>1990</v>
      </c>
      <c r="Q30" s="3353"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2022</v>
      </c>
      <c r="C31" s="766">
        <f>E34+SUM(I37:I42)</f>
        <v>0</v>
      </c>
      <c r="D31" s="2086"/>
      <c r="E31" s="2087"/>
      <c r="F31" s="2088"/>
      <c r="G31" s="2087"/>
      <c r="H31" s="2087"/>
      <c r="I31" s="2087"/>
      <c r="J31" s="2089"/>
      <c r="K31" s="1119"/>
      <c r="L31" s="3351" t="s">
        <v>1993</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9"/>
      <c r="L32" s="3352" t="s">
        <v>1996</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2027</v>
      </c>
      <c r="C33" s="175">
        <f>ROUND(C5*C22*C23*C24*C25*C28,0)</f>
        <v>2125</v>
      </c>
      <c r="D33" s="2097">
        <v>36780.86</v>
      </c>
      <c r="E33" s="773">
        <f>ROUND(C33*D33/10000,0)</f>
        <v>7816</v>
      </c>
      <c r="F33" s="3344" t="s">
        <v>3260</v>
      </c>
      <c r="G33" s="2098"/>
      <c r="H33" s="2098"/>
      <c r="I33" s="2098"/>
      <c r="J33" s="2099"/>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2028</v>
      </c>
      <c r="C34" s="187">
        <f>ROUND(IF(E2="工业",C33*M42,IF(B25="楼层修正",SUM(V2:V16)*M41*10000/D34,C33*M41)),0)</f>
        <v>531</v>
      </c>
      <c r="D34" s="2102"/>
      <c r="E34" s="773">
        <f>ROUND(IF(B25="楼层修正",SUM(V2:V16)*M40,C34*D34/10000),0)</f>
        <v>0</v>
      </c>
      <c r="F34" s="2103" t="s">
        <v>2029</v>
      </c>
      <c r="G34" s="2104"/>
      <c r="H34" s="2104"/>
      <c r="I34" s="2104"/>
      <c r="J34" s="2105"/>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2030</v>
      </c>
      <c r="C35" s="3345" t="s">
        <v>3261</v>
      </c>
      <c r="D35" s="2036"/>
      <c r="E35" s="2108"/>
      <c r="F35" s="2108"/>
      <c r="G35" s="2034" t="s">
        <v>2031</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22"/>
      <c r="B37" s="2112" t="s">
        <v>2033</v>
      </c>
      <c r="C37" s="175">
        <f>ROUND(D5*C22*C23*C24*C28*F37,0)</f>
        <v>1114</v>
      </c>
      <c r="D37" s="2097"/>
      <c r="E37" s="171">
        <f>ROUND(C37*D37/10000,0)</f>
        <v>0</v>
      </c>
      <c r="F37" s="171">
        <f>SUMIF(修正!A57:A68,G2,修正!B57:B68)</f>
        <v>0.5</v>
      </c>
      <c r="G37" s="171">
        <f>ROUND(IF(E2="工业",C37*$M$42,C37*$M$41),0)</f>
        <v>279</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3"/>
      <c r="B38" s="2040" t="s">
        <v>2034</v>
      </c>
      <c r="C38" s="175">
        <f>ROUND(D5*C22*C23*C24*C28*F38,0)</f>
        <v>446</v>
      </c>
      <c r="D38" s="2097"/>
      <c r="E38" s="171">
        <f t="shared" ref="E38:E42" si="4">ROUND(C38*D38/10000,0)</f>
        <v>0</v>
      </c>
      <c r="F38" s="171">
        <f>SUMIF(修正!A57:A68,G2,修正!C57:C68)</f>
        <v>0.2</v>
      </c>
      <c r="G38" s="171">
        <f>ROUND(IF(E2="工业",C38*$M$42,C38*$M$41),0)</f>
        <v>112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23"/>
      <c r="B39" s="2040" t="s">
        <v>3259</v>
      </c>
      <c r="C39" s="175">
        <f>ROUND(D5*C22*C23*C24*C28*F39,0)</f>
        <v>446</v>
      </c>
      <c r="D39" s="2097"/>
      <c r="E39" s="171">
        <f t="shared" si="4"/>
        <v>0</v>
      </c>
      <c r="F39" s="171">
        <f>SUMIF(修正!A57:A68,G2,修正!D57:D68)</f>
        <v>0.2</v>
      </c>
      <c r="G39" s="171">
        <f>ROUND(IF(E2="工业",C39*$M$42,C39*$M$41),0)</f>
        <v>112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2035</v>
      </c>
      <c r="C40" s="171">
        <f>ROUND(D5*C22*C23*C24*C28*F40,0)</f>
        <v>446</v>
      </c>
      <c r="D40" s="2097"/>
      <c r="E40" s="171">
        <f t="shared" si="4"/>
        <v>0</v>
      </c>
      <c r="F40" s="175">
        <f>SUMIF(修正!A57:A68,G2,修正!E57:E68)</f>
        <v>0.2</v>
      </c>
      <c r="G40" s="171">
        <f>ROUND(IF(E2="工业",C40*$M$42,C40*$M$41),0)</f>
        <v>112</v>
      </c>
      <c r="H40" s="171">
        <f t="shared" si="5"/>
        <v>0</v>
      </c>
      <c r="I40" s="171">
        <f t="shared" si="6"/>
        <v>0</v>
      </c>
      <c r="J40" s="2113"/>
      <c r="L40" s="2115" t="s">
        <v>2036</v>
      </c>
      <c r="M40" s="2116"/>
      <c r="Z40" s="1120"/>
      <c r="AA40" s="1120"/>
      <c r="AB40" s="1120"/>
      <c r="AC40" s="1120"/>
      <c r="AD40" s="1120"/>
      <c r="AE40" s="1120"/>
      <c r="AF40" s="1120"/>
      <c r="AG40" s="1120"/>
      <c r="AH40" s="1120"/>
      <c r="AI40" s="1120"/>
      <c r="AJ40" s="1120"/>
    </row>
    <row r="41" spans="1:37" s="1119"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8" t="s">
        <v>3267</v>
      </c>
      <c r="M41" s="2117">
        <v>0.25</v>
      </c>
      <c r="Z41" s="1120"/>
      <c r="AA41" s="1120"/>
      <c r="AB41" s="1120"/>
      <c r="AC41" s="1120"/>
      <c r="AD41" s="1120"/>
      <c r="AE41" s="1120"/>
      <c r="AF41" s="1120"/>
      <c r="AG41" s="1120"/>
      <c r="AH41" s="1120"/>
      <c r="AI41" s="1120"/>
      <c r="AJ41" s="1120"/>
    </row>
    <row r="42" spans="1:37" s="1119" customFormat="1" ht="13.5" thickBot="1">
      <c r="A42" s="2100"/>
      <c r="B42" s="2118" t="s">
        <v>2038</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1990</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2119</v>
      </c>
      <c r="C44" s="342">
        <f>ROUND(POWER(1+E44,H44-G44)*(POWER(1+E44,G44)-1)/(POWER(1+E44,H44)-1),4)</f>
        <v>0</v>
      </c>
      <c r="D44" s="171" t="s">
        <v>1996</v>
      </c>
      <c r="E44" s="2152">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2039</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2040</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2041</v>
      </c>
      <c r="B49" s="1350" t="s">
        <v>2042</v>
      </c>
      <c r="C49" s="1350" t="s">
        <v>2043</v>
      </c>
      <c r="D49" s="1350" t="s">
        <v>2044</v>
      </c>
      <c r="E49" s="743" t="s">
        <v>2045</v>
      </c>
      <c r="F49" s="2130" t="s">
        <v>2046</v>
      </c>
      <c r="G49" s="1350" t="s">
        <v>310</v>
      </c>
      <c r="H49" s="2131" t="s">
        <v>2047</v>
      </c>
      <c r="I49" s="1350"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2049</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2050</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2051</v>
      </c>
      <c r="B53" s="2134" t="s">
        <v>2052</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2053</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2054</v>
      </c>
      <c r="B55" s="2135" t="s">
        <v>2055</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2056</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2057</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2058</v>
      </c>
      <c r="B58" s="2138" t="str">
        <f>估价对象房地状况!C20</f>
        <v>区域自然环境：；人文环境；综合评价环境状况一般</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2059</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2041</v>
      </c>
      <c r="B60" s="1350"/>
      <c r="C60" s="1350" t="s">
        <v>2043</v>
      </c>
      <c r="D60" s="1350" t="s">
        <v>2044</v>
      </c>
      <c r="E60" s="743" t="s">
        <v>2045</v>
      </c>
      <c r="F60" s="2130" t="s">
        <v>2060</v>
      </c>
      <c r="G60" s="1350" t="s">
        <v>310</v>
      </c>
      <c r="H60" s="2131" t="s">
        <v>2047</v>
      </c>
      <c r="I60" s="1350"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2061</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2050</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2051</v>
      </c>
      <c r="B64" s="2134" t="s">
        <v>2052</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2053</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2054</v>
      </c>
      <c r="B66" s="2135" t="s">
        <v>2055</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2056</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2057</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2058</v>
      </c>
      <c r="B69" s="2139" t="str">
        <f>估价对象房地状况!C20</f>
        <v>区域自然环境：；人文环境；综合评价环境状况一般</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2062</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2041</v>
      </c>
      <c r="B71" s="1350"/>
      <c r="C71" s="1350" t="s">
        <v>2043</v>
      </c>
      <c r="D71" s="1350" t="s">
        <v>2044</v>
      </c>
      <c r="E71" s="743" t="s">
        <v>2045</v>
      </c>
      <c r="F71" s="2130" t="s">
        <v>2060</v>
      </c>
      <c r="G71" s="1350" t="s">
        <v>310</v>
      </c>
      <c r="H71" s="2131" t="s">
        <v>2047</v>
      </c>
      <c r="I71" s="1350"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2063</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2050</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3269</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2064</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2056</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2057</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2054</v>
      </c>
      <c r="B78" s="2135" t="s">
        <v>2055</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2058</v>
      </c>
      <c r="B79" s="2132" t="str">
        <f>估价对象房地状况!C20</f>
        <v>区域自然环境：；人文环境；综合评价环境状况一般</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2065</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2066</v>
      </c>
      <c r="B81" s="2126">
        <f>1+E83</f>
        <v>1</v>
      </c>
      <c r="C81" s="741"/>
      <c r="D81" s="741"/>
      <c r="E81" s="742"/>
      <c r="F81" s="2128"/>
      <c r="G81" s="3"/>
      <c r="H81" s="3"/>
      <c r="I81" s="3"/>
      <c r="J81" s="4"/>
      <c r="K81" s="4"/>
      <c r="L81" s="4"/>
      <c r="M81" s="4"/>
      <c r="N81" s="4"/>
      <c r="Z81" s="1997"/>
      <c r="AA81" s="2052"/>
      <c r="AG81" s="1121"/>
      <c r="AK81" s="2052"/>
    </row>
    <row r="82" spans="1:37" ht="24.75">
      <c r="A82" s="2129" t="s">
        <v>2041</v>
      </c>
      <c r="B82" s="1350"/>
      <c r="C82" s="1350" t="s">
        <v>2043</v>
      </c>
      <c r="D82" s="1350" t="s">
        <v>2044</v>
      </c>
      <c r="E82" s="743" t="s">
        <v>2045</v>
      </c>
      <c r="F82" s="2130" t="s">
        <v>2060</v>
      </c>
      <c r="G82" s="1350" t="s">
        <v>310</v>
      </c>
      <c r="H82" s="2131" t="s">
        <v>2047</v>
      </c>
      <c r="I82" s="1350" t="s">
        <v>2048</v>
      </c>
      <c r="J82" s="552" t="s">
        <v>1718</v>
      </c>
      <c r="K82" s="552" t="s">
        <v>1719</v>
      </c>
      <c r="L82" s="552" t="s">
        <v>1720</v>
      </c>
      <c r="M82" s="552" t="s">
        <v>1721</v>
      </c>
      <c r="N82" s="552" t="s">
        <v>1722</v>
      </c>
      <c r="Z82" s="1997"/>
      <c r="AA82" s="2052"/>
      <c r="AG82" s="1121"/>
      <c r="AK82" s="2052"/>
    </row>
    <row r="83" spans="1:37" ht="38.25">
      <c r="A83" s="2129" t="s">
        <v>2067</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2050</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3270</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2064</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2056</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5.5">
      <c r="A88" s="2129" t="s">
        <v>2057</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24">
      <c r="A89" s="2129" t="s">
        <v>2054</v>
      </c>
      <c r="B89" s="2135" t="s">
        <v>2068</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2069</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3"/>
      <c r="F91" s="1813"/>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5"/>
      <c r="C93" s="2043" t="s">
        <v>3396</v>
      </c>
      <c r="D93" s="3364">
        <f>SUMIF($J$92:$N$92,C93,J93:N93)</f>
        <v>0</v>
      </c>
      <c r="E93" s="3380">
        <f>ROUND(SUM(D93:D101),4)</f>
        <v>0</v>
      </c>
      <c r="F93" s="1813">
        <f>IF(E2="公共服务",SUMIF(L1:L12,G2,N1:N12),"——")</f>
        <v>0.15</v>
      </c>
      <c r="G93" s="3371">
        <v>1.8700000000000001E-2</v>
      </c>
      <c r="H93" s="3419">
        <f>IFERROR(ROUNDDOWN($F$93*I93/2,4),"——")</f>
        <v>1.8700000000000001E-2</v>
      </c>
      <c r="I93" s="3365">
        <v>0.25</v>
      </c>
      <c r="J93" s="3343">
        <f t="shared" ref="J93:J101" si="27">K93+$G93</f>
        <v>3.7400000000000003E-2</v>
      </c>
      <c r="K93" s="3343">
        <f t="shared" ref="K93:K101" si="28">$L93+$G93</f>
        <v>1.8700000000000001E-2</v>
      </c>
      <c r="L93" s="3343">
        <v>0</v>
      </c>
      <c r="M93" s="3343">
        <f t="shared" ref="M93:N101" si="29">L93-$G93</f>
        <v>-1.8700000000000001E-2</v>
      </c>
      <c r="N93" s="3343">
        <f t="shared" si="29"/>
        <v>-3.7400000000000003E-2</v>
      </c>
    </row>
    <row r="94" spans="1:37" ht="38.25">
      <c r="A94" s="3377" t="s">
        <v>3273</v>
      </c>
      <c r="B94" s="3368" t="str">
        <f>估价对象房地状况!C18</f>
        <v>估价对象周边道路状况、公共交通通达情况、停车便捷程度，综合评价交通便捷度较好</v>
      </c>
      <c r="C94" s="2043" t="s">
        <v>3396</v>
      </c>
      <c r="D94" s="3364">
        <f t="shared" ref="D94:D101" si="30">SUMIF($J$60:$N$60,C94,J94:N94)</f>
        <v>0</v>
      </c>
      <c r="E94" s="3381"/>
      <c r="F94" s="1813"/>
      <c r="G94" s="3371">
        <v>1.95E-2</v>
      </c>
      <c r="H94" s="3419">
        <f>IFERROR(ROUNDDOWN($F$93*I94/2,4),"——")</f>
        <v>1.95E-2</v>
      </c>
      <c r="I94" s="3365">
        <v>0.26</v>
      </c>
      <c r="J94" s="3343">
        <f t="shared" si="27"/>
        <v>3.9E-2</v>
      </c>
      <c r="K94" s="3343">
        <f t="shared" si="28"/>
        <v>1.95E-2</v>
      </c>
      <c r="L94" s="3343">
        <v>0</v>
      </c>
      <c r="M94" s="3343">
        <f t="shared" si="29"/>
        <v>-1.95E-2</v>
      </c>
      <c r="N94" s="3343">
        <f t="shared" si="29"/>
        <v>-3.9E-2</v>
      </c>
    </row>
    <row r="95" spans="1:37" ht="36">
      <c r="A95" s="3367" t="s">
        <v>3269</v>
      </c>
      <c r="B95" s="3368">
        <f>估价对象房地状况!C19</f>
        <v>0</v>
      </c>
      <c r="C95" s="2043" t="s">
        <v>3396</v>
      </c>
      <c r="D95" s="3364">
        <f t="shared" si="30"/>
        <v>0</v>
      </c>
      <c r="E95" s="3381"/>
      <c r="F95" s="1813"/>
      <c r="G95" s="3371">
        <v>8.2000000000000007E-3</v>
      </c>
      <c r="H95" s="3419">
        <f t="shared" ref="H95:H101" si="31">IFERROR(ROUNDDOWN($F$93*I95/2,4),"——")</f>
        <v>8.2000000000000007E-3</v>
      </c>
      <c r="I95" s="3365">
        <v>0.11</v>
      </c>
      <c r="J95" s="3343">
        <f t="shared" si="27"/>
        <v>1.6400000000000001E-2</v>
      </c>
      <c r="K95" s="3343">
        <f t="shared" si="28"/>
        <v>8.2000000000000007E-3</v>
      </c>
      <c r="L95" s="3343">
        <v>0</v>
      </c>
      <c r="M95" s="3343">
        <f t="shared" si="29"/>
        <v>-8.2000000000000007E-3</v>
      </c>
      <c r="N95" s="3343">
        <f t="shared" si="29"/>
        <v>-1.6400000000000001E-2</v>
      </c>
    </row>
    <row r="96" spans="1:37" ht="36.75">
      <c r="A96" s="3377" t="s">
        <v>3274</v>
      </c>
      <c r="B96" s="3383" t="s">
        <v>3285</v>
      </c>
      <c r="C96" s="2043" t="s">
        <v>3396</v>
      </c>
      <c r="D96" s="3364">
        <f t="shared" si="30"/>
        <v>0</v>
      </c>
      <c r="E96" s="3381"/>
      <c r="F96" s="1813"/>
      <c r="G96" s="3371">
        <v>3.7000000000000002E-3</v>
      </c>
      <c r="H96" s="3419">
        <f t="shared" si="31"/>
        <v>3.7000000000000002E-3</v>
      </c>
      <c r="I96" s="3365">
        <v>0.05</v>
      </c>
      <c r="J96" s="3343">
        <f t="shared" si="27"/>
        <v>7.4000000000000003E-3</v>
      </c>
      <c r="K96" s="3343">
        <f t="shared" si="28"/>
        <v>3.7000000000000002E-3</v>
      </c>
      <c r="L96" s="3343">
        <v>0</v>
      </c>
      <c r="M96" s="3343">
        <f t="shared" si="29"/>
        <v>-3.7000000000000002E-3</v>
      </c>
      <c r="N96" s="3343">
        <f t="shared" si="29"/>
        <v>-7.4000000000000003E-3</v>
      </c>
    </row>
    <row r="97" spans="1:14" ht="24">
      <c r="A97" s="3377" t="s">
        <v>3275</v>
      </c>
      <c r="B97" s="3368">
        <f>估价对象房地状况!C24</f>
        <v>0</v>
      </c>
      <c r="C97" s="2043" t="s">
        <v>3396</v>
      </c>
      <c r="D97" s="3364">
        <f t="shared" si="30"/>
        <v>0</v>
      </c>
      <c r="E97" s="3381"/>
      <c r="F97" s="1813"/>
      <c r="G97" s="3371">
        <v>3.7000000000000002E-3</v>
      </c>
      <c r="H97" s="3419">
        <f t="shared" si="31"/>
        <v>3.7000000000000002E-3</v>
      </c>
      <c r="I97" s="3365">
        <v>0.05</v>
      </c>
      <c r="J97" s="3343">
        <f t="shared" si="27"/>
        <v>7.4000000000000003E-3</v>
      </c>
      <c r="K97" s="3343">
        <f t="shared" si="28"/>
        <v>3.7000000000000002E-3</v>
      </c>
      <c r="L97" s="3343">
        <v>0</v>
      </c>
      <c r="M97" s="3343">
        <f t="shared" si="29"/>
        <v>-3.7000000000000002E-3</v>
      </c>
      <c r="N97" s="3343">
        <f t="shared" si="29"/>
        <v>-7.4000000000000003E-3</v>
      </c>
    </row>
    <row r="98" spans="1:14" ht="24">
      <c r="A98" s="3377" t="s">
        <v>3276</v>
      </c>
      <c r="B98" s="3384" t="s">
        <v>3286</v>
      </c>
      <c r="C98" s="2043" t="s">
        <v>3396</v>
      </c>
      <c r="D98" s="3364">
        <f t="shared" si="30"/>
        <v>0</v>
      </c>
      <c r="E98" s="3381"/>
      <c r="F98" s="1813"/>
      <c r="G98" s="3371">
        <v>4.4999999999999997E-3</v>
      </c>
      <c r="H98" s="3419">
        <f t="shared" si="31"/>
        <v>4.4999999999999997E-3</v>
      </c>
      <c r="I98" s="3365">
        <v>0.06</v>
      </c>
      <c r="J98" s="3343">
        <f t="shared" si="27"/>
        <v>8.9999999999999993E-3</v>
      </c>
      <c r="K98" s="3343">
        <f t="shared" si="28"/>
        <v>4.4999999999999997E-3</v>
      </c>
      <c r="L98" s="3343">
        <v>0</v>
      </c>
      <c r="M98" s="3343">
        <f t="shared" si="29"/>
        <v>-4.4999999999999997E-3</v>
      </c>
      <c r="N98" s="3343">
        <f t="shared" si="29"/>
        <v>-8.9999999999999993E-3</v>
      </c>
    </row>
    <row r="99" spans="1:14" ht="25.5">
      <c r="A99" s="3377" t="s">
        <v>3277</v>
      </c>
      <c r="B99" s="3368" t="str">
        <f>估价对象房地状况!C21</f>
        <v>估价对象所在区域公共配套设施齐备情况</v>
      </c>
      <c r="C99" s="2043" t="s">
        <v>3396</v>
      </c>
      <c r="D99" s="3364">
        <f t="shared" si="30"/>
        <v>0</v>
      </c>
      <c r="E99" s="3381"/>
      <c r="F99" s="1813"/>
      <c r="G99" s="3371">
        <v>4.4999999999999997E-3</v>
      </c>
      <c r="H99" s="3419">
        <f t="shared" si="31"/>
        <v>4.4999999999999997E-3</v>
      </c>
      <c r="I99" s="3365">
        <v>0.06</v>
      </c>
      <c r="J99" s="3343">
        <f t="shared" si="27"/>
        <v>8.9999999999999993E-3</v>
      </c>
      <c r="K99" s="3343">
        <f t="shared" si="28"/>
        <v>4.4999999999999997E-3</v>
      </c>
      <c r="L99" s="3343">
        <v>0</v>
      </c>
      <c r="M99" s="3343">
        <f t="shared" si="29"/>
        <v>-4.4999999999999997E-3</v>
      </c>
      <c r="N99" s="3343">
        <f t="shared" si="29"/>
        <v>-8.9999999999999993E-3</v>
      </c>
    </row>
    <row r="100" spans="1:14" ht="25.5">
      <c r="A100" s="3377" t="s">
        <v>3278</v>
      </c>
      <c r="B100" s="3368" t="str">
        <f>估价对象房地状况!C22</f>
        <v>估价对象所在区域基础设施水平</v>
      </c>
      <c r="C100" s="2043" t="s">
        <v>3396</v>
      </c>
      <c r="D100" s="3364">
        <f t="shared" si="30"/>
        <v>0</v>
      </c>
      <c r="E100" s="3381"/>
      <c r="F100" s="1813"/>
      <c r="G100" s="3371">
        <v>6.7000000000000002E-3</v>
      </c>
      <c r="H100" s="3419">
        <f t="shared" si="31"/>
        <v>6.7000000000000002E-3</v>
      </c>
      <c r="I100" s="3365">
        <v>0.09</v>
      </c>
      <c r="J100" s="3343">
        <f t="shared" si="27"/>
        <v>1.34E-2</v>
      </c>
      <c r="K100" s="3343">
        <f t="shared" si="28"/>
        <v>6.7000000000000002E-3</v>
      </c>
      <c r="L100" s="3343">
        <v>0</v>
      </c>
      <c r="M100" s="3343">
        <f t="shared" si="29"/>
        <v>-6.7000000000000002E-3</v>
      </c>
      <c r="N100" s="3343">
        <f t="shared" si="29"/>
        <v>-1.34E-2</v>
      </c>
    </row>
    <row r="101" spans="1:14" ht="26.25" thickBot="1">
      <c r="A101" s="3378" t="s">
        <v>3279</v>
      </c>
      <c r="B101" s="3385" t="str">
        <f>估价对象房地状况!C20</f>
        <v>区域自然环境：；人文环境；综合评价环境状况一般</v>
      </c>
      <c r="C101" s="2043" t="s">
        <v>3396</v>
      </c>
      <c r="D101" s="3364">
        <f t="shared" si="30"/>
        <v>0</v>
      </c>
      <c r="E101" s="3382"/>
      <c r="F101" s="1813"/>
      <c r="G101" s="3371">
        <v>5.1999999999999998E-3</v>
      </c>
      <c r="H101" s="3419">
        <f t="shared" si="31"/>
        <v>5.1999999999999998E-3</v>
      </c>
      <c r="I101" s="3366">
        <v>7.0000000000000007E-2</v>
      </c>
      <c r="J101" s="3343">
        <f t="shared" si="27"/>
        <v>1.04E-2</v>
      </c>
      <c r="K101" s="3343">
        <f t="shared" si="28"/>
        <v>5.1999999999999998E-3</v>
      </c>
      <c r="L101" s="3343">
        <v>0</v>
      </c>
      <c r="M101" s="3343">
        <f t="shared" si="29"/>
        <v>-5.1999999999999998E-3</v>
      </c>
      <c r="N101" s="3343">
        <f t="shared" si="29"/>
        <v>-1.04E-2</v>
      </c>
    </row>
    <row r="103" spans="1:14">
      <c r="A103" s="3820" t="s">
        <v>3294</v>
      </c>
      <c r="B103" s="3820"/>
      <c r="C103" s="3820"/>
      <c r="D103" s="3820"/>
      <c r="E103" s="3820"/>
      <c r="F103" s="3820"/>
      <c r="G103" s="3820"/>
      <c r="H103" s="3820"/>
      <c r="I103" s="3820"/>
      <c r="J103" s="3820"/>
      <c r="K103" s="3388"/>
      <c r="L103" s="3388"/>
      <c r="M103" s="3388"/>
      <c r="N103" s="3388"/>
    </row>
    <row r="104" spans="1:14">
      <c r="A104" s="3821" t="s">
        <v>3295</v>
      </c>
      <c r="B104" s="3821" t="s">
        <v>3296</v>
      </c>
      <c r="C104" s="3389" t="s">
        <v>3297</v>
      </c>
      <c r="D104" s="3390"/>
      <c r="E104" s="3390"/>
      <c r="F104" s="3390"/>
      <c r="G104" s="3390"/>
      <c r="H104" s="3390"/>
      <c r="I104" s="3390"/>
      <c r="J104" s="3391"/>
      <c r="K104" s="3392"/>
      <c r="L104" s="3392"/>
      <c r="M104" s="3392"/>
      <c r="N104" s="3392"/>
    </row>
    <row r="105" spans="1:14">
      <c r="A105" s="3821"/>
      <c r="B105" s="3821"/>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807"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8"/>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10" t="s">
        <v>3311</v>
      </c>
      <c r="B113" s="3810"/>
      <c r="C113" s="3810"/>
      <c r="D113" s="3810"/>
      <c r="E113" s="3810"/>
      <c r="F113" s="3810"/>
      <c r="G113" s="3810"/>
      <c r="H113" s="3810"/>
      <c r="I113" s="3810"/>
      <c r="J113" s="381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1.74</v>
      </c>
      <c r="C116" s="3398" t="s">
        <v>3313</v>
      </c>
      <c r="D116" s="3399">
        <f>SUMPRODUCT((A118:A122=F116)*(B117:M117=H116)*B118:M122)</f>
        <v>0.73429999999999995</v>
      </c>
      <c r="E116" s="1999" t="s">
        <v>3314</v>
      </c>
      <c r="F116" s="3400" t="str">
        <f>E2</f>
        <v>公共服务</v>
      </c>
      <c r="G116" s="1999" t="s">
        <v>3315</v>
      </c>
      <c r="H116" s="3400" t="str">
        <f>G2</f>
        <v>九级</v>
      </c>
      <c r="I116" s="1999"/>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0.97770000000000001</v>
      </c>
      <c r="C118" s="3386">
        <f>B118</f>
        <v>0.97770000000000001</v>
      </c>
      <c r="D118" s="3386">
        <f>ROUND(0.949-0.014*B116,4)</f>
        <v>0.92459999999999998</v>
      </c>
      <c r="E118" s="3386">
        <f>D118</f>
        <v>0.92459999999999998</v>
      </c>
      <c r="F118" s="3386">
        <f>E118</f>
        <v>0.92459999999999998</v>
      </c>
      <c r="G118" s="3386">
        <f>F118</f>
        <v>0.92459999999999998</v>
      </c>
      <c r="H118" s="3386">
        <f>G118</f>
        <v>0.92459999999999998</v>
      </c>
      <c r="I118" s="3386">
        <f>ROUND(0.8486-0.018*B116,4)</f>
        <v>0.81730000000000003</v>
      </c>
      <c r="J118" s="3386">
        <f t="shared" ref="J118:M122" si="35">I118</f>
        <v>0.81730000000000003</v>
      </c>
      <c r="K118" s="3386">
        <f t="shared" si="35"/>
        <v>0.81730000000000003</v>
      </c>
      <c r="L118" s="3386">
        <f t="shared" si="35"/>
        <v>0.81730000000000003</v>
      </c>
      <c r="M118" s="3409">
        <f t="shared" si="35"/>
        <v>0.81730000000000003</v>
      </c>
      <c r="N118" s="3396"/>
    </row>
    <row r="119" spans="1:14">
      <c r="A119" s="3408" t="s">
        <v>3329</v>
      </c>
      <c r="B119" s="3386">
        <f>ROUND(0.993-0.0112*B116,4)</f>
        <v>0.97350000000000003</v>
      </c>
      <c r="C119" s="3386">
        <f>B119</f>
        <v>0.97350000000000003</v>
      </c>
      <c r="D119" s="3386">
        <f>ROUND(0.9415-0.0142*B116,4)</f>
        <v>0.91679999999999995</v>
      </c>
      <c r="E119" s="3386">
        <f t="shared" ref="E119:H120" si="36">D119</f>
        <v>0.91679999999999995</v>
      </c>
      <c r="F119" s="3386">
        <f t="shared" si="36"/>
        <v>0.91679999999999995</v>
      </c>
      <c r="G119" s="3386">
        <f t="shared" si="36"/>
        <v>0.91679999999999995</v>
      </c>
      <c r="H119" s="3386">
        <f t="shared" si="36"/>
        <v>0.91679999999999995</v>
      </c>
      <c r="I119" s="3386">
        <f>ROUND(0.838-0.0182*B116,4)</f>
        <v>0.80630000000000002</v>
      </c>
      <c r="J119" s="3386">
        <f t="shared" si="35"/>
        <v>0.80630000000000002</v>
      </c>
      <c r="K119" s="3386">
        <f t="shared" si="35"/>
        <v>0.80630000000000002</v>
      </c>
      <c r="L119" s="3386">
        <f t="shared" si="35"/>
        <v>0.80630000000000002</v>
      </c>
      <c r="M119" s="3409">
        <f t="shared" si="35"/>
        <v>0.80630000000000002</v>
      </c>
      <c r="N119" s="3396"/>
    </row>
    <row r="120" spans="1:14">
      <c r="A120" s="3408" t="s">
        <v>3330</v>
      </c>
      <c r="B120" s="3386">
        <f>ROUND(0.9448-0.0115*B116,4)</f>
        <v>0.92479999999999996</v>
      </c>
      <c r="C120" s="3386">
        <f>B120</f>
        <v>0.92479999999999996</v>
      </c>
      <c r="D120" s="3386">
        <f>ROUND(0.937-0.0145*B116,4)</f>
        <v>0.91180000000000005</v>
      </c>
      <c r="E120" s="3386">
        <f t="shared" si="36"/>
        <v>0.91180000000000005</v>
      </c>
      <c r="F120" s="3386">
        <f t="shared" si="36"/>
        <v>0.91180000000000005</v>
      </c>
      <c r="G120" s="3386">
        <f t="shared" si="36"/>
        <v>0.91180000000000005</v>
      </c>
      <c r="H120" s="3386">
        <f t="shared" si="36"/>
        <v>0.91180000000000005</v>
      </c>
      <c r="I120" s="3386">
        <f>ROUND(0.7965-0.0185*B116,4)</f>
        <v>0.76429999999999998</v>
      </c>
      <c r="J120" s="3386">
        <f t="shared" si="35"/>
        <v>0.76429999999999998</v>
      </c>
      <c r="K120" s="3386">
        <f t="shared" si="35"/>
        <v>0.76429999999999998</v>
      </c>
      <c r="L120" s="3386">
        <f t="shared" si="35"/>
        <v>0.76429999999999998</v>
      </c>
      <c r="M120" s="3409">
        <f t="shared" si="35"/>
        <v>0.76429999999999998</v>
      </c>
      <c r="N120" s="3396"/>
    </row>
    <row r="121" spans="1:14" ht="13.5" thickBot="1">
      <c r="A121" s="3410" t="s">
        <v>3331</v>
      </c>
      <c r="B121" s="3411">
        <f>ROUND(0.7836-0.012*B116,4)</f>
        <v>0.76270000000000004</v>
      </c>
      <c r="C121" s="3411">
        <f>B121</f>
        <v>0.76270000000000004</v>
      </c>
      <c r="D121" s="3411">
        <f>ROUND(0.753-0.015*B116,4)</f>
        <v>0.72689999999999999</v>
      </c>
      <c r="E121" s="3411">
        <f>D121</f>
        <v>0.72689999999999999</v>
      </c>
      <c r="F121" s="3411">
        <f>E121</f>
        <v>0.72689999999999999</v>
      </c>
      <c r="G121" s="3411">
        <f>ROUND(0.6612-0.018*B116,4)</f>
        <v>0.62990000000000002</v>
      </c>
      <c r="H121" s="3411">
        <f>G121</f>
        <v>0.62990000000000002</v>
      </c>
      <c r="I121" s="3411">
        <f>ROUND(0.5905-0.019*B116,4)</f>
        <v>0.55740000000000001</v>
      </c>
      <c r="J121" s="3411">
        <f t="shared" si="35"/>
        <v>0.55740000000000001</v>
      </c>
      <c r="K121" s="3411">
        <f t="shared" si="35"/>
        <v>0.55740000000000001</v>
      </c>
      <c r="L121" s="3411">
        <f t="shared" si="35"/>
        <v>0.55740000000000001</v>
      </c>
      <c r="M121" s="3412">
        <f t="shared" si="35"/>
        <v>0.55740000000000001</v>
      </c>
      <c r="N121" s="3396"/>
    </row>
    <row r="122" spans="1:14">
      <c r="A122" s="3413" t="s">
        <v>2613</v>
      </c>
      <c r="B122" s="3386">
        <f>ROUND(0.9404-0.0106*B116,4)</f>
        <v>0.92200000000000004</v>
      </c>
      <c r="C122" s="3386">
        <f>B122</f>
        <v>0.92200000000000004</v>
      </c>
      <c r="D122" s="3386">
        <f>ROUND(0.8955-0.0135*B116,4)</f>
        <v>0.872</v>
      </c>
      <c r="E122" s="3386">
        <f t="shared" ref="E122:H122" si="37">D122</f>
        <v>0.872</v>
      </c>
      <c r="F122" s="3386">
        <f t="shared" si="37"/>
        <v>0.872</v>
      </c>
      <c r="G122" s="3386">
        <f t="shared" si="37"/>
        <v>0.872</v>
      </c>
      <c r="H122" s="3386">
        <f t="shared" si="37"/>
        <v>0.872</v>
      </c>
      <c r="I122" s="3386">
        <f>ROUND(0.7632-0.0166*B116,4)</f>
        <v>0.73429999999999995</v>
      </c>
      <c r="J122" s="3386">
        <f t="shared" si="35"/>
        <v>0.73429999999999995</v>
      </c>
      <c r="K122" s="3386">
        <f t="shared" si="35"/>
        <v>0.73429999999999995</v>
      </c>
      <c r="L122" s="3386">
        <f t="shared" si="35"/>
        <v>0.73429999999999995</v>
      </c>
      <c r="M122" s="3409">
        <f t="shared" si="35"/>
        <v>0.73429999999999995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35" t="s">
        <v>2608</v>
      </c>
      <c r="B20" s="3830" t="s">
        <v>2629</v>
      </c>
      <c r="C20" s="3101" t="s">
        <v>2440</v>
      </c>
      <c r="D20" s="3102"/>
      <c r="E20" s="3103">
        <v>1</v>
      </c>
      <c r="F20" s="3104" t="s">
        <v>2441</v>
      </c>
      <c r="G20" s="3104"/>
    </row>
    <row r="21" spans="1:13" ht="19.5" customHeight="1">
      <c r="A21" s="3836"/>
      <c r="B21" s="3829"/>
      <c r="C21" s="3105" t="s">
        <v>2442</v>
      </c>
      <c r="D21" s="3106"/>
      <c r="E21" s="3107">
        <v>1</v>
      </c>
      <c r="F21" s="3104" t="s">
        <v>2443</v>
      </c>
      <c r="G21" s="3104"/>
    </row>
    <row r="22" spans="1:13" ht="19.5" customHeight="1">
      <c r="A22" s="3836"/>
      <c r="B22" s="3829"/>
      <c r="C22" s="3105" t="s">
        <v>2444</v>
      </c>
      <c r="D22" s="3106"/>
      <c r="E22" s="3107">
        <v>0.9</v>
      </c>
      <c r="F22" s="3104" t="s">
        <v>2445</v>
      </c>
      <c r="G22" s="3104"/>
    </row>
    <row r="23" spans="1:13" ht="19.5" customHeight="1">
      <c r="A23" s="3836"/>
      <c r="B23" s="3829"/>
      <c r="C23" s="3105" t="s">
        <v>2446</v>
      </c>
      <c r="D23" s="3106"/>
      <c r="E23" s="3107">
        <v>0.9</v>
      </c>
      <c r="F23" s="3104" t="s">
        <v>2447</v>
      </c>
      <c r="G23" s="3104"/>
    </row>
    <row r="24" spans="1:13" ht="19.5" customHeight="1">
      <c r="A24" s="3836"/>
      <c r="B24" s="3829"/>
      <c r="C24" s="3105" t="s">
        <v>2448</v>
      </c>
      <c r="D24" s="3106"/>
      <c r="E24" s="3107">
        <v>0.8</v>
      </c>
      <c r="F24" s="3104" t="s">
        <v>2449</v>
      </c>
      <c r="G24" s="3104"/>
    </row>
    <row r="25" spans="1:13" ht="19.5" customHeight="1" thickBot="1">
      <c r="A25" s="3837"/>
      <c r="B25" s="383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32" t="s">
        <v>2632</v>
      </c>
      <c r="B27" s="3830" t="s">
        <v>2613</v>
      </c>
      <c r="C27" s="3101" t="s">
        <v>2453</v>
      </c>
      <c r="D27" s="3102"/>
      <c r="E27" s="3103">
        <v>1</v>
      </c>
      <c r="F27" s="3104" t="s">
        <v>2454</v>
      </c>
      <c r="G27" s="3104"/>
    </row>
    <row r="28" spans="1:13" ht="19.5" customHeight="1">
      <c r="A28" s="3833"/>
      <c r="B28" s="3829"/>
      <c r="C28" s="3105" t="s">
        <v>2455</v>
      </c>
      <c r="D28" s="3106"/>
      <c r="E28" s="3107">
        <v>1</v>
      </c>
      <c r="F28" s="3104" t="s">
        <v>2456</v>
      </c>
      <c r="G28" s="3104"/>
    </row>
    <row r="29" spans="1:13" ht="19.5" customHeight="1">
      <c r="A29" s="3833"/>
      <c r="B29" s="3829"/>
      <c r="C29" s="3105" t="s">
        <v>2457</v>
      </c>
      <c r="D29" s="3106"/>
      <c r="E29" s="3107">
        <v>0.8</v>
      </c>
      <c r="F29" s="3104" t="s">
        <v>2458</v>
      </c>
      <c r="G29" s="3104"/>
    </row>
    <row r="30" spans="1:13" ht="19.5" customHeight="1">
      <c r="A30" s="3833"/>
      <c r="B30" s="3829"/>
      <c r="C30" s="3105" t="s">
        <v>2459</v>
      </c>
      <c r="D30" s="3106"/>
      <c r="E30" s="3107">
        <v>0.8</v>
      </c>
      <c r="F30" s="3104" t="s">
        <v>2460</v>
      </c>
      <c r="G30" s="3104"/>
    </row>
    <row r="31" spans="1:13" ht="19.5" customHeight="1">
      <c r="A31" s="3833"/>
      <c r="B31" s="3829"/>
      <c r="C31" s="3105" t="s">
        <v>2461</v>
      </c>
      <c r="D31" s="3106"/>
      <c r="E31" s="3107">
        <v>0.8</v>
      </c>
      <c r="F31" s="3104" t="s">
        <v>2462</v>
      </c>
      <c r="G31" s="3104"/>
    </row>
    <row r="32" spans="1:13" ht="19.5" customHeight="1">
      <c r="A32" s="3833"/>
      <c r="B32" s="3829"/>
      <c r="C32" s="3105" t="s">
        <v>2463</v>
      </c>
      <c r="D32" s="3106"/>
      <c r="E32" s="3107">
        <v>0.7</v>
      </c>
      <c r="F32" s="3104" t="s">
        <v>2464</v>
      </c>
      <c r="G32" s="3104"/>
    </row>
    <row r="33" spans="1:7" ht="19.5" customHeight="1">
      <c r="A33" s="3833"/>
      <c r="B33" s="3829"/>
      <c r="C33" s="3105" t="s">
        <v>2465</v>
      </c>
      <c r="D33" s="3106"/>
      <c r="E33" s="3107">
        <v>0.8</v>
      </c>
      <c r="F33" s="3104" t="s">
        <v>2466</v>
      </c>
      <c r="G33" s="3104"/>
    </row>
    <row r="34" spans="1:7" ht="19.5" customHeight="1">
      <c r="A34" s="3833"/>
      <c r="B34" s="3829"/>
      <c r="C34" s="3105" t="s">
        <v>2467</v>
      </c>
      <c r="D34" s="3106"/>
      <c r="E34" s="3107">
        <v>0.6</v>
      </c>
      <c r="F34" s="3104" t="s">
        <v>2468</v>
      </c>
      <c r="G34" s="3104"/>
    </row>
    <row r="35" spans="1:7" ht="19.5" customHeight="1">
      <c r="A35" s="3833"/>
      <c r="B35" s="3829"/>
      <c r="C35" s="3105" t="s">
        <v>2469</v>
      </c>
      <c r="D35" s="3106"/>
      <c r="E35" s="3107">
        <v>0.2</v>
      </c>
      <c r="F35" s="3104" t="s">
        <v>2470</v>
      </c>
      <c r="G35" s="3104"/>
    </row>
    <row r="36" spans="1:7" ht="19.5" customHeight="1">
      <c r="A36" s="3833"/>
      <c r="B36" s="3829"/>
      <c r="C36" s="3105" t="s">
        <v>2471</v>
      </c>
      <c r="D36" s="3106"/>
      <c r="E36" s="3107">
        <v>0.2</v>
      </c>
      <c r="F36" s="3104" t="s">
        <v>2472</v>
      </c>
      <c r="G36" s="3104"/>
    </row>
    <row r="37" spans="1:7" ht="19.5" customHeight="1">
      <c r="A37" s="3833"/>
      <c r="B37" s="3827" t="s">
        <v>2633</v>
      </c>
      <c r="C37" s="3105" t="s">
        <v>2473</v>
      </c>
      <c r="D37" s="3106"/>
      <c r="E37" s="3107">
        <v>0.6</v>
      </c>
      <c r="F37" s="3104" t="s">
        <v>2474</v>
      </c>
      <c r="G37" s="3104"/>
    </row>
    <row r="38" spans="1:7" ht="19.5" customHeight="1">
      <c r="A38" s="3833"/>
      <c r="B38" s="3829"/>
      <c r="C38" s="3105" t="s">
        <v>2475</v>
      </c>
      <c r="D38" s="3106"/>
      <c r="E38" s="3107">
        <v>0.6</v>
      </c>
      <c r="F38" s="3104" t="s">
        <v>2476</v>
      </c>
      <c r="G38" s="3104"/>
    </row>
    <row r="39" spans="1:7" ht="19.5" customHeight="1" thickBot="1">
      <c r="A39" s="3834"/>
      <c r="B39" s="383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35" t="s">
        <v>2611</v>
      </c>
      <c r="B41" s="3830" t="s">
        <v>2635</v>
      </c>
      <c r="C41" s="3101" t="s">
        <v>2480</v>
      </c>
      <c r="D41" s="3102"/>
      <c r="E41" s="3103">
        <v>1</v>
      </c>
      <c r="F41" s="3104" t="s">
        <v>2481</v>
      </c>
      <c r="G41" s="3104"/>
    </row>
    <row r="42" spans="1:7" ht="19.5" customHeight="1">
      <c r="A42" s="3836"/>
      <c r="B42" s="3829"/>
      <c r="C42" s="3105" t="s">
        <v>2482</v>
      </c>
      <c r="D42" s="3106"/>
      <c r="E42" s="3107">
        <v>1</v>
      </c>
      <c r="F42" s="3104" t="s">
        <v>2483</v>
      </c>
      <c r="G42" s="3104"/>
    </row>
    <row r="43" spans="1:7" ht="19.5" customHeight="1">
      <c r="A43" s="3836"/>
      <c r="B43" s="3828"/>
      <c r="C43" s="3105" t="s">
        <v>2484</v>
      </c>
      <c r="D43" s="3106"/>
      <c r="E43" s="3107">
        <v>1.5</v>
      </c>
      <c r="F43" s="3104" t="s">
        <v>2485</v>
      </c>
      <c r="G43" s="3104"/>
    </row>
    <row r="44" spans="1:7" ht="19.5" customHeight="1">
      <c r="A44" s="3836"/>
      <c r="B44" s="3116" t="s">
        <v>2636</v>
      </c>
      <c r="C44" s="3105" t="s">
        <v>2637</v>
      </c>
      <c r="D44" s="3106"/>
      <c r="E44" s="3107">
        <v>2</v>
      </c>
      <c r="F44" s="3104" t="s">
        <v>2486</v>
      </c>
      <c r="G44" s="3104"/>
    </row>
    <row r="45" spans="1:7" ht="19.5" customHeight="1">
      <c r="A45" s="3836"/>
      <c r="B45" s="3827" t="s">
        <v>2638</v>
      </c>
      <c r="C45" s="3105" t="s">
        <v>2487</v>
      </c>
      <c r="D45" s="3106"/>
      <c r="E45" s="3107">
        <v>1</v>
      </c>
      <c r="F45" s="3104" t="s">
        <v>2488</v>
      </c>
      <c r="G45" s="3104"/>
    </row>
    <row r="46" spans="1:7" ht="19.5" customHeight="1">
      <c r="A46" s="3836"/>
      <c r="B46" s="3829"/>
      <c r="C46" s="3105" t="s">
        <v>2489</v>
      </c>
      <c r="D46" s="3106"/>
      <c r="E46" s="3107">
        <v>1</v>
      </c>
      <c r="F46" s="3104" t="s">
        <v>2490</v>
      </c>
      <c r="G46" s="3104"/>
    </row>
    <row r="47" spans="1:7" ht="19.5" customHeight="1">
      <c r="A47" s="3836"/>
      <c r="B47" s="3829"/>
      <c r="C47" s="3105" t="s">
        <v>2491</v>
      </c>
      <c r="D47" s="3106"/>
      <c r="E47" s="3107">
        <v>1</v>
      </c>
      <c r="F47" s="3104" t="s">
        <v>2492</v>
      </c>
      <c r="G47" s="3104"/>
    </row>
    <row r="48" spans="1:7" ht="19.5" customHeight="1">
      <c r="A48" s="3836"/>
      <c r="B48" s="3829"/>
      <c r="C48" s="3105" t="s">
        <v>2493</v>
      </c>
      <c r="D48" s="3106"/>
      <c r="E48" s="3107">
        <v>1</v>
      </c>
      <c r="F48" s="3104" t="s">
        <v>2494</v>
      </c>
      <c r="G48" s="3104"/>
    </row>
    <row r="49" spans="1:7" ht="19.5" customHeight="1">
      <c r="A49" s="3836"/>
      <c r="B49" s="3829"/>
      <c r="C49" s="3105" t="s">
        <v>2495</v>
      </c>
      <c r="D49" s="3106"/>
      <c r="E49" s="3107">
        <v>1</v>
      </c>
      <c r="F49" s="3104" t="s">
        <v>2496</v>
      </c>
      <c r="G49" s="3104"/>
    </row>
    <row r="50" spans="1:7" ht="19.5" customHeight="1">
      <c r="A50" s="3836"/>
      <c r="B50" s="3829"/>
      <c r="C50" s="3105" t="s">
        <v>2497</v>
      </c>
      <c r="D50" s="3106"/>
      <c r="E50" s="3107">
        <v>1</v>
      </c>
      <c r="F50" s="3104" t="s">
        <v>2498</v>
      </c>
      <c r="G50" s="3104"/>
    </row>
    <row r="51" spans="1:7" ht="19.5" customHeight="1" thickBot="1">
      <c r="A51" s="3837"/>
      <c r="B51" s="383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827" t="s">
        <v>2652</v>
      </c>
      <c r="C73" s="3090" t="s">
        <v>2653</v>
      </c>
      <c r="D73" s="3090" t="s">
        <v>2654</v>
      </c>
      <c r="E73" s="3116">
        <v>0.2</v>
      </c>
      <c r="F73" s="3116">
        <v>25</v>
      </c>
    </row>
    <row r="74" spans="1:7" ht="24">
      <c r="A74" s="3116">
        <v>2</v>
      </c>
      <c r="B74" s="3829"/>
      <c r="C74" s="3090" t="s">
        <v>2655</v>
      </c>
      <c r="D74" s="3090" t="s">
        <v>2656</v>
      </c>
      <c r="E74" s="3116">
        <v>0.2</v>
      </c>
      <c r="F74" s="3116">
        <v>25</v>
      </c>
    </row>
    <row r="75" spans="1:7" ht="24">
      <c r="A75" s="3116">
        <v>3</v>
      </c>
      <c r="B75" s="3829"/>
      <c r="C75" s="3090" t="s">
        <v>2657</v>
      </c>
      <c r="D75" s="3090" t="s">
        <v>2658</v>
      </c>
      <c r="E75" s="3116">
        <v>0.2</v>
      </c>
      <c r="F75" s="3116">
        <v>25</v>
      </c>
    </row>
    <row r="76" spans="1:7" ht="13.5">
      <c r="A76" s="3116">
        <v>4</v>
      </c>
      <c r="B76" s="3829"/>
      <c r="C76" s="3090" t="s">
        <v>2659</v>
      </c>
      <c r="D76" s="3090" t="s">
        <v>2660</v>
      </c>
      <c r="E76" s="3116">
        <v>0.15</v>
      </c>
      <c r="F76" s="3116">
        <v>20</v>
      </c>
    </row>
    <row r="77" spans="1:7" ht="24">
      <c r="A77" s="3116">
        <v>5</v>
      </c>
      <c r="B77" s="3829"/>
      <c r="C77" s="3090" t="s">
        <v>2661</v>
      </c>
      <c r="D77" s="3090" t="s">
        <v>2662</v>
      </c>
      <c r="E77" s="3116">
        <v>0.15</v>
      </c>
      <c r="F77" s="3116">
        <v>20</v>
      </c>
    </row>
    <row r="78" spans="1:7" ht="24">
      <c r="A78" s="3116">
        <v>6</v>
      </c>
      <c r="B78" s="3829"/>
      <c r="C78" s="3090" t="s">
        <v>2663</v>
      </c>
      <c r="D78" s="3090" t="s">
        <v>2664</v>
      </c>
      <c r="E78" s="3116">
        <v>0.15</v>
      </c>
      <c r="F78" s="3116">
        <v>20</v>
      </c>
    </row>
    <row r="79" spans="1:7" ht="24">
      <c r="A79" s="3116">
        <v>7</v>
      </c>
      <c r="B79" s="3829"/>
      <c r="C79" s="3090" t="s">
        <v>2665</v>
      </c>
      <c r="D79" s="3090" t="s">
        <v>2666</v>
      </c>
      <c r="E79" s="3116">
        <v>0.15</v>
      </c>
      <c r="F79" s="3116">
        <v>20</v>
      </c>
    </row>
    <row r="80" spans="1:7" ht="24">
      <c r="A80" s="3116">
        <v>8</v>
      </c>
      <c r="B80" s="3829"/>
      <c r="C80" s="3090" t="s">
        <v>2667</v>
      </c>
      <c r="D80" s="3090" t="s">
        <v>2668</v>
      </c>
      <c r="E80" s="3116">
        <v>0.1</v>
      </c>
      <c r="F80" s="3116">
        <v>15</v>
      </c>
    </row>
    <row r="81" spans="1:6" ht="24">
      <c r="A81" s="3116">
        <v>9</v>
      </c>
      <c r="B81" s="3829"/>
      <c r="C81" s="3090" t="s">
        <v>2669</v>
      </c>
      <c r="D81" s="3090" t="s">
        <v>2670</v>
      </c>
      <c r="E81" s="3116">
        <v>0.1</v>
      </c>
      <c r="F81" s="3116">
        <v>15</v>
      </c>
    </row>
    <row r="82" spans="1:6" ht="24">
      <c r="A82" s="3116">
        <v>10</v>
      </c>
      <c r="B82" s="3829"/>
      <c r="C82" s="3090" t="s">
        <v>2671</v>
      </c>
      <c r="D82" s="3090" t="s">
        <v>2672</v>
      </c>
      <c r="E82" s="3116">
        <v>0.1</v>
      </c>
      <c r="F82" s="3116">
        <v>15</v>
      </c>
    </row>
    <row r="83" spans="1:6" ht="24">
      <c r="A83" s="3116">
        <v>11</v>
      </c>
      <c r="B83" s="3829"/>
      <c r="C83" s="3090" t="s">
        <v>2673</v>
      </c>
      <c r="D83" s="3090" t="s">
        <v>2674</v>
      </c>
      <c r="E83" s="3116">
        <v>0.1</v>
      </c>
      <c r="F83" s="3116">
        <v>15</v>
      </c>
    </row>
    <row r="84" spans="1:6" ht="24">
      <c r="A84" s="3116">
        <v>12</v>
      </c>
      <c r="B84" s="3829"/>
      <c r="C84" s="3090" t="s">
        <v>2675</v>
      </c>
      <c r="D84" s="3090" t="s">
        <v>2676</v>
      </c>
      <c r="E84" s="3116">
        <v>0.1</v>
      </c>
      <c r="F84" s="3116">
        <v>15</v>
      </c>
    </row>
    <row r="85" spans="1:6" ht="13.5">
      <c r="A85" s="3116">
        <v>13</v>
      </c>
      <c r="B85" s="3829"/>
      <c r="C85" s="3090" t="s">
        <v>2677</v>
      </c>
      <c r="D85" s="3090" t="s">
        <v>2678</v>
      </c>
      <c r="E85" s="3116">
        <v>0.1</v>
      </c>
      <c r="F85" s="3116">
        <v>15</v>
      </c>
    </row>
    <row r="86" spans="1:6" ht="13.5">
      <c r="A86" s="3116">
        <v>14</v>
      </c>
      <c r="B86" s="3829"/>
      <c r="C86" s="3090" t="s">
        <v>2679</v>
      </c>
      <c r="D86" s="3090" t="s">
        <v>2680</v>
      </c>
      <c r="E86" s="3116">
        <v>0.1</v>
      </c>
      <c r="F86" s="3116">
        <v>15</v>
      </c>
    </row>
    <row r="87" spans="1:6" ht="13.5">
      <c r="A87" s="3116">
        <v>15</v>
      </c>
      <c r="B87" s="3829"/>
      <c r="C87" s="3090" t="s">
        <v>2681</v>
      </c>
      <c r="D87" s="3090" t="s">
        <v>2682</v>
      </c>
      <c r="E87" s="3116">
        <v>0.1</v>
      </c>
      <c r="F87" s="3116">
        <v>15</v>
      </c>
    </row>
    <row r="88" spans="1:6" ht="24">
      <c r="A88" s="3116">
        <v>16</v>
      </c>
      <c r="B88" s="3829"/>
      <c r="C88" s="3090" t="s">
        <v>2683</v>
      </c>
      <c r="D88" s="3090" t="s">
        <v>2684</v>
      </c>
      <c r="E88" s="3116">
        <v>0.1</v>
      </c>
      <c r="F88" s="3116">
        <v>15</v>
      </c>
    </row>
    <row r="89" spans="1:6" ht="24">
      <c r="A89" s="3116">
        <v>17</v>
      </c>
      <c r="B89" s="3828"/>
      <c r="C89" s="3090" t="s">
        <v>2685</v>
      </c>
      <c r="D89" s="3090" t="s">
        <v>2686</v>
      </c>
      <c r="E89" s="3116">
        <v>0.1</v>
      </c>
      <c r="F89" s="3116">
        <v>15</v>
      </c>
    </row>
    <row r="90" spans="1:6" ht="13.5">
      <c r="A90" s="3116">
        <v>18</v>
      </c>
      <c r="B90" s="3827" t="s">
        <v>2687</v>
      </c>
      <c r="C90" s="3090" t="s">
        <v>2688</v>
      </c>
      <c r="D90" s="3090" t="s">
        <v>2689</v>
      </c>
      <c r="E90" s="3116">
        <v>0.2</v>
      </c>
      <c r="F90" s="3116">
        <v>25</v>
      </c>
    </row>
    <row r="91" spans="1:6" ht="24">
      <c r="A91" s="3116">
        <v>19</v>
      </c>
      <c r="B91" s="3829"/>
      <c r="C91" s="3090" t="s">
        <v>2690</v>
      </c>
      <c r="D91" s="3090" t="s">
        <v>2691</v>
      </c>
      <c r="E91" s="3116">
        <v>0.2</v>
      </c>
      <c r="F91" s="3116">
        <v>25</v>
      </c>
    </row>
    <row r="92" spans="1:6" ht="13.5">
      <c r="A92" s="3116">
        <v>20</v>
      </c>
      <c r="B92" s="3829"/>
      <c r="C92" s="3090" t="s">
        <v>2692</v>
      </c>
      <c r="D92" s="3090" t="s">
        <v>2693</v>
      </c>
      <c r="E92" s="3116">
        <v>0.15</v>
      </c>
      <c r="F92" s="3116">
        <v>20</v>
      </c>
    </row>
    <row r="93" spans="1:6" ht="13.5">
      <c r="A93" s="3116">
        <v>21</v>
      </c>
      <c r="B93" s="3829"/>
      <c r="C93" s="3090" t="s">
        <v>2694</v>
      </c>
      <c r="D93" s="3090" t="s">
        <v>2695</v>
      </c>
      <c r="E93" s="3116">
        <v>0.15</v>
      </c>
      <c r="F93" s="3116">
        <v>20</v>
      </c>
    </row>
    <row r="94" spans="1:6" ht="13.5">
      <c r="A94" s="3116">
        <v>22</v>
      </c>
      <c r="B94" s="3829"/>
      <c r="C94" s="3090" t="s">
        <v>2696</v>
      </c>
      <c r="D94" s="3090" t="s">
        <v>2697</v>
      </c>
      <c r="E94" s="3116">
        <v>0.15</v>
      </c>
      <c r="F94" s="3116">
        <v>20</v>
      </c>
    </row>
    <row r="95" spans="1:6" ht="36">
      <c r="A95" s="3116">
        <v>23</v>
      </c>
      <c r="B95" s="3829"/>
      <c r="C95" s="3090" t="s">
        <v>2698</v>
      </c>
      <c r="D95" s="3090" t="s">
        <v>2699</v>
      </c>
      <c r="E95" s="3116">
        <v>0.15</v>
      </c>
      <c r="F95" s="3116">
        <v>20</v>
      </c>
    </row>
    <row r="96" spans="1:6" ht="13.5">
      <c r="A96" s="3116">
        <v>24</v>
      </c>
      <c r="B96" s="3829"/>
      <c r="C96" s="3090" t="s">
        <v>2700</v>
      </c>
      <c r="D96" s="3090" t="s">
        <v>2701</v>
      </c>
      <c r="E96" s="3116">
        <v>0.1</v>
      </c>
      <c r="F96" s="3116">
        <v>15</v>
      </c>
    </row>
    <row r="97" spans="1:6" ht="13.5">
      <c r="A97" s="3116">
        <v>25</v>
      </c>
      <c r="B97" s="3829"/>
      <c r="C97" s="3090" t="s">
        <v>2702</v>
      </c>
      <c r="D97" s="3090" t="s">
        <v>2703</v>
      </c>
      <c r="E97" s="3116">
        <v>0.1</v>
      </c>
      <c r="F97" s="3116">
        <v>15</v>
      </c>
    </row>
    <row r="98" spans="1:6" ht="24">
      <c r="A98" s="3116">
        <v>26</v>
      </c>
      <c r="B98" s="3829"/>
      <c r="C98" s="3090" t="s">
        <v>2704</v>
      </c>
      <c r="D98" s="3090" t="s">
        <v>2705</v>
      </c>
      <c r="E98" s="3116">
        <v>0.1</v>
      </c>
      <c r="F98" s="3116">
        <v>15</v>
      </c>
    </row>
    <row r="99" spans="1:6" ht="24">
      <c r="A99" s="3116">
        <v>27</v>
      </c>
      <c r="B99" s="3829"/>
      <c r="C99" s="3090" t="s">
        <v>2706</v>
      </c>
      <c r="D99" s="3090" t="s">
        <v>2707</v>
      </c>
      <c r="E99" s="3116">
        <v>0.1</v>
      </c>
      <c r="F99" s="3116">
        <v>15</v>
      </c>
    </row>
    <row r="100" spans="1:6" ht="13.5">
      <c r="A100" s="3116">
        <v>28</v>
      </c>
      <c r="B100" s="3829"/>
      <c r="C100" s="3090" t="s">
        <v>2708</v>
      </c>
      <c r="D100" s="3090" t="s">
        <v>2709</v>
      </c>
      <c r="E100" s="3116">
        <v>0.1</v>
      </c>
      <c r="F100" s="3116">
        <v>15</v>
      </c>
    </row>
    <row r="101" spans="1:6" ht="13.5">
      <c r="A101" s="3116">
        <v>29</v>
      </c>
      <c r="B101" s="3829"/>
      <c r="C101" s="3090" t="s">
        <v>2710</v>
      </c>
      <c r="D101" s="3090" t="s">
        <v>2711</v>
      </c>
      <c r="E101" s="3116">
        <v>0.1</v>
      </c>
      <c r="F101" s="3116">
        <v>15</v>
      </c>
    </row>
    <row r="102" spans="1:6" ht="13.5">
      <c r="A102" s="3116">
        <v>30</v>
      </c>
      <c r="B102" s="3829"/>
      <c r="C102" s="3090" t="s">
        <v>2712</v>
      </c>
      <c r="D102" s="3090" t="s">
        <v>2713</v>
      </c>
      <c r="E102" s="3116">
        <v>0.1</v>
      </c>
      <c r="F102" s="3116">
        <v>15</v>
      </c>
    </row>
    <row r="103" spans="1:6" ht="24">
      <c r="A103" s="3116">
        <v>31</v>
      </c>
      <c r="B103" s="3829"/>
      <c r="C103" s="3090" t="s">
        <v>2714</v>
      </c>
      <c r="D103" s="3090" t="s">
        <v>2715</v>
      </c>
      <c r="E103" s="3116">
        <v>0.1</v>
      </c>
      <c r="F103" s="3116">
        <v>15</v>
      </c>
    </row>
    <row r="104" spans="1:6" ht="24">
      <c r="A104" s="3116">
        <v>32</v>
      </c>
      <c r="B104" s="3829"/>
      <c r="C104" s="3090" t="s">
        <v>2716</v>
      </c>
      <c r="D104" s="3090" t="s">
        <v>2717</v>
      </c>
      <c r="E104" s="3116">
        <v>0.1</v>
      </c>
      <c r="F104" s="3116">
        <v>15</v>
      </c>
    </row>
    <row r="105" spans="1:6" ht="24">
      <c r="A105" s="3116">
        <v>33</v>
      </c>
      <c r="B105" s="3829"/>
      <c r="C105" s="3090" t="s">
        <v>2718</v>
      </c>
      <c r="D105" s="3090" t="s">
        <v>2719</v>
      </c>
      <c r="E105" s="3116">
        <v>0.1</v>
      </c>
      <c r="F105" s="3116">
        <v>15</v>
      </c>
    </row>
    <row r="106" spans="1:6" ht="24">
      <c r="A106" s="3116">
        <v>34</v>
      </c>
      <c r="B106" s="3828"/>
      <c r="C106" s="3090" t="s">
        <v>2720</v>
      </c>
      <c r="D106" s="3090" t="s">
        <v>2721</v>
      </c>
      <c r="E106" s="3116">
        <v>0.1</v>
      </c>
      <c r="F106" s="3116">
        <v>15</v>
      </c>
    </row>
    <row r="107" spans="1:6" ht="24">
      <c r="A107" s="3116">
        <v>35</v>
      </c>
      <c r="B107" s="3827" t="s">
        <v>2722</v>
      </c>
      <c r="C107" s="3116" t="s">
        <v>2723</v>
      </c>
      <c r="D107" s="3090" t="s">
        <v>2724</v>
      </c>
      <c r="E107" s="3116">
        <v>0.15</v>
      </c>
      <c r="F107" s="3116">
        <v>20</v>
      </c>
    </row>
    <row r="108" spans="1:6" ht="13.5">
      <c r="A108" s="3116">
        <v>36</v>
      </c>
      <c r="B108" s="3829"/>
      <c r="C108" s="3116" t="s">
        <v>2725</v>
      </c>
      <c r="D108" s="3090" t="s">
        <v>2726</v>
      </c>
      <c r="E108" s="3116">
        <v>0.15</v>
      </c>
      <c r="F108" s="3116">
        <v>20</v>
      </c>
    </row>
    <row r="109" spans="1:6" ht="13.5">
      <c r="A109" s="3116">
        <v>37</v>
      </c>
      <c r="B109" s="3829"/>
      <c r="C109" s="3116" t="s">
        <v>2727</v>
      </c>
      <c r="D109" s="3090" t="s">
        <v>2728</v>
      </c>
      <c r="E109" s="3116">
        <v>0.15</v>
      </c>
      <c r="F109" s="3116">
        <v>20</v>
      </c>
    </row>
    <row r="110" spans="1:6" ht="13.5">
      <c r="A110" s="3116">
        <v>38</v>
      </c>
      <c r="B110" s="3829"/>
      <c r="C110" s="3116" t="s">
        <v>2729</v>
      </c>
      <c r="D110" s="3090" t="s">
        <v>2730</v>
      </c>
      <c r="E110" s="3116">
        <v>0.1</v>
      </c>
      <c r="F110" s="3116">
        <v>15</v>
      </c>
    </row>
    <row r="111" spans="1:6" ht="24">
      <c r="A111" s="3116">
        <v>39</v>
      </c>
      <c r="B111" s="3829"/>
      <c r="C111" s="3116" t="s">
        <v>2731</v>
      </c>
      <c r="D111" s="3090" t="s">
        <v>2732</v>
      </c>
      <c r="E111" s="3116">
        <v>0.1</v>
      </c>
      <c r="F111" s="3116">
        <v>15</v>
      </c>
    </row>
    <row r="112" spans="1:6" ht="24">
      <c r="A112" s="3116">
        <v>40</v>
      </c>
      <c r="B112" s="3828"/>
      <c r="C112" s="3116" t="s">
        <v>2733</v>
      </c>
      <c r="D112" s="3090" t="s">
        <v>2734</v>
      </c>
      <c r="E112" s="3116">
        <v>0.1</v>
      </c>
      <c r="F112" s="3116">
        <v>15</v>
      </c>
    </row>
    <row r="113" spans="1:6" ht="13.5">
      <c r="A113" s="3116">
        <v>41</v>
      </c>
      <c r="B113" s="3826" t="s">
        <v>2735</v>
      </c>
      <c r="C113" s="3116" t="s">
        <v>2736</v>
      </c>
      <c r="D113" s="3090" t="s">
        <v>2737</v>
      </c>
      <c r="E113" s="3116">
        <v>0.1</v>
      </c>
      <c r="F113" s="3116">
        <v>15</v>
      </c>
    </row>
    <row r="114" spans="1:6" ht="13.5">
      <c r="A114" s="3116">
        <v>42</v>
      </c>
      <c r="B114" s="3826"/>
      <c r="C114" s="3116" t="s">
        <v>2738</v>
      </c>
      <c r="D114" s="3090" t="s">
        <v>2739</v>
      </c>
      <c r="E114" s="3116">
        <v>0.1</v>
      </c>
      <c r="F114" s="3116">
        <v>15</v>
      </c>
    </row>
    <row r="115" spans="1:6" ht="24">
      <c r="A115" s="3116">
        <v>43</v>
      </c>
      <c r="B115" s="3826"/>
      <c r="C115" s="3116" t="s">
        <v>2740</v>
      </c>
      <c r="D115" s="3090" t="s">
        <v>2741</v>
      </c>
      <c r="E115" s="3116">
        <v>0.1</v>
      </c>
      <c r="F115" s="3116">
        <v>15</v>
      </c>
    </row>
    <row r="116" spans="1:6" ht="13.5">
      <c r="A116" s="3116">
        <v>44</v>
      </c>
      <c r="B116" s="3827" t="s">
        <v>2742</v>
      </c>
      <c r="C116" s="3116" t="s">
        <v>2743</v>
      </c>
      <c r="D116" s="3090" t="s">
        <v>2744</v>
      </c>
      <c r="E116" s="3116">
        <v>0.1</v>
      </c>
      <c r="F116" s="3116">
        <v>15</v>
      </c>
    </row>
    <row r="117" spans="1:6" ht="24">
      <c r="A117" s="3116">
        <v>45</v>
      </c>
      <c r="B117" s="3828"/>
      <c r="C117" s="3090" t="s">
        <v>2745</v>
      </c>
      <c r="D117" s="3090" t="s">
        <v>2746</v>
      </c>
      <c r="E117" s="3116">
        <v>0.1</v>
      </c>
      <c r="F117" s="3116">
        <v>15</v>
      </c>
    </row>
    <row r="118" spans="1:6" ht="24">
      <c r="A118" s="3116">
        <v>46</v>
      </c>
      <c r="B118" s="3827" t="s">
        <v>2747</v>
      </c>
      <c r="C118" s="3116" t="s">
        <v>2748</v>
      </c>
      <c r="D118" s="3090" t="s">
        <v>2749</v>
      </c>
      <c r="E118" s="3116">
        <v>0.1</v>
      </c>
      <c r="F118" s="3116">
        <v>15</v>
      </c>
    </row>
    <row r="119" spans="1:6" ht="24">
      <c r="A119" s="3116">
        <v>47</v>
      </c>
      <c r="B119" s="3828"/>
      <c r="C119" s="3116" t="s">
        <v>2750</v>
      </c>
      <c r="D119" s="3090" t="s">
        <v>2751</v>
      </c>
      <c r="E119" s="3116">
        <v>0.1</v>
      </c>
      <c r="F119" s="3116">
        <v>15</v>
      </c>
    </row>
    <row r="120" spans="1:6" ht="13.5">
      <c r="A120" s="3116">
        <v>48</v>
      </c>
      <c r="B120" s="3827" t="s">
        <v>2752</v>
      </c>
      <c r="C120" s="3116" t="s">
        <v>2753</v>
      </c>
      <c r="D120" s="3090" t="s">
        <v>2754</v>
      </c>
      <c r="E120" s="3116">
        <v>0.1</v>
      </c>
      <c r="F120" s="3116">
        <v>15</v>
      </c>
    </row>
    <row r="121" spans="1:6" ht="13.5">
      <c r="A121" s="3116">
        <v>49</v>
      </c>
      <c r="B121" s="3828"/>
      <c r="C121" s="3116" t="s">
        <v>2755</v>
      </c>
      <c r="D121" s="3090" t="s">
        <v>2756</v>
      </c>
      <c r="E121" s="3116">
        <v>0.1</v>
      </c>
      <c r="F121" s="3116">
        <v>15</v>
      </c>
    </row>
    <row r="122" spans="1:6" ht="24">
      <c r="A122" s="3116">
        <v>50</v>
      </c>
      <c r="B122" s="3826" t="s">
        <v>2757</v>
      </c>
      <c r="C122" s="3116" t="s">
        <v>2758</v>
      </c>
      <c r="D122" s="3090" t="s">
        <v>2759</v>
      </c>
      <c r="E122" s="3116">
        <v>0.1</v>
      </c>
      <c r="F122" s="3116">
        <v>15</v>
      </c>
    </row>
    <row r="123" spans="1:6" ht="24">
      <c r="A123" s="3116">
        <v>51</v>
      </c>
      <c r="B123" s="3826"/>
      <c r="C123" s="3116" t="s">
        <v>2760</v>
      </c>
      <c r="D123" s="3090" t="s">
        <v>2761</v>
      </c>
      <c r="E123" s="3116">
        <v>0.1</v>
      </c>
      <c r="F123" s="3116">
        <v>15</v>
      </c>
    </row>
    <row r="124" spans="1:6" ht="24">
      <c r="A124" s="3116">
        <v>52</v>
      </c>
      <c r="B124" s="3826" t="s">
        <v>2762</v>
      </c>
      <c r="C124" s="3116" t="s">
        <v>2763</v>
      </c>
      <c r="D124" s="3090" t="s">
        <v>2764</v>
      </c>
      <c r="E124" s="3116">
        <v>0.1</v>
      </c>
      <c r="F124" s="3116">
        <v>15</v>
      </c>
    </row>
    <row r="125" spans="1:6" ht="24">
      <c r="A125" s="3116">
        <v>53</v>
      </c>
      <c r="B125" s="3826"/>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26" t="s">
        <v>2770</v>
      </c>
      <c r="C127" s="3116" t="s">
        <v>2771</v>
      </c>
      <c r="D127" s="3090" t="s">
        <v>2772</v>
      </c>
      <c r="E127" s="3116">
        <v>0.1</v>
      </c>
      <c r="F127" s="3116">
        <v>15</v>
      </c>
    </row>
    <row r="128" spans="1:6" ht="13.5">
      <c r="A128" s="3116">
        <v>56</v>
      </c>
      <c r="B128" s="3826"/>
      <c r="C128" s="3116" t="s">
        <v>2773</v>
      </c>
      <c r="D128" s="3090" t="s">
        <v>2774</v>
      </c>
      <c r="E128" s="3116">
        <v>0.1</v>
      </c>
      <c r="F128" s="3116">
        <v>15</v>
      </c>
    </row>
    <row r="129" spans="1:6" ht="24">
      <c r="A129" s="3116">
        <v>57</v>
      </c>
      <c r="B129" s="3826"/>
      <c r="C129" s="3116" t="s">
        <v>2775</v>
      </c>
      <c r="D129" s="3090" t="s">
        <v>2776</v>
      </c>
      <c r="E129" s="3116">
        <v>0.1</v>
      </c>
      <c r="F129" s="3116">
        <v>15</v>
      </c>
    </row>
    <row r="130" spans="1:6" ht="24">
      <c r="A130" s="3116">
        <v>58</v>
      </c>
      <c r="B130" s="3826" t="s">
        <v>2777</v>
      </c>
      <c r="C130" s="3116" t="s">
        <v>2778</v>
      </c>
      <c r="D130" s="3090" t="s">
        <v>2779</v>
      </c>
      <c r="E130" s="3116">
        <v>0.1</v>
      </c>
      <c r="F130" s="3116">
        <v>15</v>
      </c>
    </row>
    <row r="131" spans="1:6" ht="13.5">
      <c r="A131" s="3116">
        <v>59</v>
      </c>
      <c r="B131" s="3826"/>
      <c r="C131" s="3116" t="s">
        <v>2780</v>
      </c>
      <c r="D131" s="3090" t="s">
        <v>2781</v>
      </c>
      <c r="E131" s="3116">
        <v>0.1</v>
      </c>
      <c r="F131" s="3116">
        <v>15</v>
      </c>
    </row>
    <row r="132" spans="1:6" ht="13.5">
      <c r="A132" s="3116">
        <v>60</v>
      </c>
      <c r="B132" s="3827" t="s">
        <v>2782</v>
      </c>
      <c r="C132" s="3116" t="s">
        <v>2783</v>
      </c>
      <c r="D132" s="3090" t="s">
        <v>2784</v>
      </c>
      <c r="E132" s="3116">
        <v>0.1</v>
      </c>
      <c r="F132" s="3116">
        <v>15</v>
      </c>
    </row>
    <row r="133" spans="1:6" ht="13.5">
      <c r="A133" s="3116">
        <v>61</v>
      </c>
      <c r="B133" s="3828"/>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26" t="s">
        <v>2790</v>
      </c>
      <c r="C135" s="3116" t="s">
        <v>2791</v>
      </c>
      <c r="D135" s="3090" t="s">
        <v>2792</v>
      </c>
      <c r="E135" s="3116">
        <v>0.1</v>
      </c>
      <c r="F135" s="3116">
        <v>15</v>
      </c>
    </row>
    <row r="136" spans="1:6" ht="13.5">
      <c r="A136" s="3116">
        <v>64</v>
      </c>
      <c r="B136" s="3826"/>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92"/>
      <c r="B4" s="3521" t="s">
        <v>917</v>
      </c>
      <c r="C4" s="3521"/>
      <c r="D4" s="3521"/>
      <c r="E4" s="1492"/>
    </row>
    <row r="5" spans="1:5" ht="16.5" thickTop="1">
      <c r="A5" s="1490"/>
      <c r="B5" s="3519" t="s">
        <v>909</v>
      </c>
      <c r="C5" s="1493" t="s">
        <v>910</v>
      </c>
      <c r="D5" s="850">
        <f ca="1">结果表12号楼!H101</f>
        <v>27720</v>
      </c>
      <c r="E5" s="1490"/>
    </row>
    <row r="6" spans="1:5" ht="15.75">
      <c r="A6" s="1490"/>
      <c r="B6" s="3519"/>
      <c r="C6" s="1493" t="s">
        <v>911</v>
      </c>
      <c r="D6" s="850" t="str">
        <f ca="1">NUMBERSTRING(INT(D5*10000),2)&amp;"元整"</f>
        <v>贰亿柒仟柒佰贰拾万元整</v>
      </c>
      <c r="E6" s="1490"/>
    </row>
    <row r="7" spans="1:5" ht="15.75">
      <c r="A7" s="1490"/>
      <c r="B7" s="3524"/>
      <c r="C7" s="1494" t="s">
        <v>912</v>
      </c>
      <c r="D7" s="851">
        <f ca="1">结果表12号楼!H102</f>
        <v>24130</v>
      </c>
      <c r="E7" s="1490"/>
    </row>
    <row r="8" spans="1:5" ht="15.75">
      <c r="A8" s="1490"/>
      <c r="B8" s="3525" t="str">
        <f>结果表12号楼!E103</f>
        <v>2.估价师知悉的法定优先受偿款</v>
      </c>
      <c r="C8" s="1495" t="s">
        <v>913</v>
      </c>
      <c r="D8" s="851">
        <f>结果表12号楼!H103</f>
        <v>0</v>
      </c>
      <c r="E8" s="1490"/>
    </row>
    <row r="9" spans="1:5" ht="15.75">
      <c r="A9" s="1490"/>
      <c r="B9" s="3527"/>
      <c r="C9" s="1493" t="s">
        <v>911</v>
      </c>
      <c r="D9" s="850" t="str">
        <f>NUMBERSTRING(INT(D8*10000),2)&amp;"元整"</f>
        <v>零元整</v>
      </c>
      <c r="E9" s="1490"/>
    </row>
    <row r="10" spans="1:5" ht="15">
      <c r="A10" s="1490"/>
      <c r="B10" s="1496" t="s">
        <v>916</v>
      </c>
      <c r="C10" s="1497" t="s">
        <v>914</v>
      </c>
      <c r="D10" s="852">
        <f>结果表12号楼!H104</f>
        <v>0</v>
      </c>
      <c r="E10" s="1490"/>
    </row>
    <row r="11" spans="1:5" ht="15">
      <c r="A11" s="1490"/>
      <c r="B11" s="1496" t="s">
        <v>918</v>
      </c>
      <c r="C11" s="1497" t="s">
        <v>919</v>
      </c>
      <c r="D11" s="852">
        <f>结果表12号楼!H105</f>
        <v>0</v>
      </c>
      <c r="E11" s="1490"/>
    </row>
    <row r="12" spans="1:5" ht="15">
      <c r="A12" s="1490"/>
      <c r="B12" s="1496" t="s">
        <v>920</v>
      </c>
      <c r="C12" s="1497" t="s">
        <v>919</v>
      </c>
      <c r="D12" s="852">
        <f>结果表12号楼!H106</f>
        <v>0</v>
      </c>
      <c r="E12" s="1490"/>
    </row>
    <row r="13" spans="1:5" ht="15.75">
      <c r="A13" s="1490"/>
      <c r="B13" s="3518" t="str">
        <f>结果表12号楼!E107</f>
        <v>3.房地产抵押价值</v>
      </c>
      <c r="C13" s="1498" t="s">
        <v>910</v>
      </c>
      <c r="D13" s="853">
        <f ca="1">结果表12号楼!H107</f>
        <v>27720</v>
      </c>
      <c r="E13" s="1490"/>
    </row>
    <row r="14" spans="1:5" ht="15.75">
      <c r="A14" s="1490"/>
      <c r="B14" s="3519"/>
      <c r="C14" s="1493" t="s">
        <v>911</v>
      </c>
      <c r="D14" s="850" t="str">
        <f ca="1">NUMBERSTRING(INT(D13*10000),2)&amp;"元整"</f>
        <v>贰亿柒仟柒佰贰拾万元整</v>
      </c>
      <c r="E14" s="1490"/>
    </row>
    <row r="15" spans="1:5" ht="15">
      <c r="A15" s="1490"/>
      <c r="B15" s="3524"/>
      <c r="C15" s="1494" t="s">
        <v>921</v>
      </c>
      <c r="D15" s="859">
        <f ca="1">结果表12号楼!H108</f>
        <v>24130</v>
      </c>
      <c r="E15" s="1490"/>
    </row>
    <row r="16" spans="1:5" ht="15">
      <c r="A16" s="1490"/>
      <c r="B16" s="3525" t="str">
        <f>结果表12号楼!E109</f>
        <v>——</v>
      </c>
      <c r="C16" s="1498" t="s">
        <v>922</v>
      </c>
      <c r="D16" s="1499" t="str">
        <f>结果表12号楼!H109</f>
        <v>——</v>
      </c>
      <c r="E16" s="1490"/>
    </row>
    <row r="17" spans="1:5" ht="15.75">
      <c r="A17" s="1490"/>
      <c r="B17" s="3526"/>
      <c r="C17" s="1493" t="s">
        <v>923</v>
      </c>
      <c r="D17" s="850" t="e">
        <f>NUMBERSTRING(INT(D16*10000),2)&amp;"元整"</f>
        <v>#VALUE!</v>
      </c>
      <c r="E17" s="1490"/>
    </row>
    <row r="18" spans="1:5" ht="15">
      <c r="A18" s="1490"/>
      <c r="B18" s="3527"/>
      <c r="C18" s="1494" t="s">
        <v>912</v>
      </c>
      <c r="D18" s="859" t="str">
        <f>结果表12号楼!H110</f>
        <v>——</v>
      </c>
      <c r="E18" s="1490"/>
    </row>
    <row r="19" spans="1:5" ht="15.75">
      <c r="A19" s="1490"/>
      <c r="B19" s="3518" t="str">
        <f>结果表12号楼!E111</f>
        <v>4.抵押净值</v>
      </c>
      <c r="C19" s="1498" t="s">
        <v>910</v>
      </c>
      <c r="D19" s="851">
        <f ca="1">结果表12号楼!H111</f>
        <v>10539</v>
      </c>
      <c r="E19" s="1490"/>
    </row>
    <row r="20" spans="1:5" ht="15.75">
      <c r="A20" s="1490"/>
      <c r="B20" s="3519"/>
      <c r="C20" s="1493" t="s">
        <v>923</v>
      </c>
      <c r="D20" s="850" t="str">
        <f ca="1">NUMBERSTRING(INT(D19*10000),2)&amp;"元整"</f>
        <v>壹亿零伍佰叁拾玖万元整</v>
      </c>
      <c r="E20" s="1490"/>
    </row>
    <row r="21" spans="1:5" ht="15.75" thickBot="1">
      <c r="A21" s="1490"/>
      <c r="B21" s="3520"/>
      <c r="C21" s="1500" t="s">
        <v>921</v>
      </c>
      <c r="D21" s="860">
        <f ca="1">结果表12号楼!H112</f>
        <v>2865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1.0556000000000001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0.96089999999999998</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54852</v>
      </c>
      <c r="C2" s="2" t="s">
        <v>106</v>
      </c>
      <c r="D2" s="199"/>
      <c r="E2" s="199"/>
      <c r="F2" s="199"/>
      <c r="G2" s="199"/>
    </row>
    <row r="3" spans="1:7" s="200" customFormat="1" ht="18" customHeight="1" thickBot="1">
      <c r="A3" s="203" t="s">
        <v>58</v>
      </c>
      <c r="B3" s="204">
        <f ca="1">ROUND(B2*10000/'数据-汇总表'!E3,0)</f>
        <v>14913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36780.86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736</v>
      </c>
      <c r="D19" s="849">
        <f>'数据-汇总表'!E3</f>
        <v>36780.86</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2830</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2830</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22069</v>
      </c>
      <c r="D34" s="217"/>
      <c r="E34" s="220"/>
      <c r="F34" s="257">
        <f>IF('数据-取费表'!B24=0,1,'数据-取费表'!N16)</f>
        <v>1</v>
      </c>
      <c r="G34" s="219" t="s">
        <v>89</v>
      </c>
    </row>
    <row r="35" spans="1:7" ht="13.5" customHeight="1">
      <c r="A35" s="780" t="s">
        <v>351</v>
      </c>
      <c r="B35" s="215" t="s">
        <v>33</v>
      </c>
      <c r="C35" s="220">
        <f>ROUND(C34*F35,0)</f>
        <v>1103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736</v>
      </c>
      <c r="D37" s="217">
        <f>'数据-汇总表'!E3</f>
        <v>36780.86</v>
      </c>
      <c r="E37" s="249">
        <f>'数据-取费表'!B35</f>
        <v>200</v>
      </c>
      <c r="F37" s="259"/>
      <c r="G37" s="261" t="s">
        <v>92</v>
      </c>
    </row>
    <row r="38" spans="1:7" ht="13.5" customHeight="1">
      <c r="A38" s="780" t="s">
        <v>354</v>
      </c>
      <c r="B38" s="215" t="s">
        <v>36</v>
      </c>
      <c r="C38" s="220">
        <f>ROUND(C34*F38,0)</f>
        <v>441</v>
      </c>
      <c r="D38" s="220"/>
      <c r="E38" s="220"/>
      <c r="F38" s="259">
        <f>'数据-取费表'!B36</f>
        <v>0.02</v>
      </c>
      <c r="G38" s="219" t="s">
        <v>90</v>
      </c>
    </row>
    <row r="39" spans="1:7" s="214" customFormat="1" ht="13.5" customHeight="1">
      <c r="A39" s="777" t="s">
        <v>338</v>
      </c>
      <c r="B39" s="210" t="s">
        <v>77</v>
      </c>
      <c r="C39" s="232">
        <f>ROUND(C33*F20,0)</f>
        <v>487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840</v>
      </c>
      <c r="D42" s="238"/>
      <c r="E42" s="238"/>
      <c r="F42" s="239"/>
      <c r="G42" s="3700" t="s">
        <v>94</v>
      </c>
    </row>
    <row r="43" spans="1:7" ht="13.5" customHeight="1">
      <c r="A43" s="780" t="s">
        <v>347</v>
      </c>
      <c r="B43" s="215" t="s">
        <v>426</v>
      </c>
      <c r="C43" s="238">
        <f ca="1">ROUND(IF('数据-取费表'!B22&lt;=1,C39*F22*'数据-取费表'!B21/2,C39*(POWER((1+F22),'数据-取费表'!B21/2)-1)),0)</f>
        <v>17</v>
      </c>
      <c r="D43" s="238"/>
      <c r="E43" s="238"/>
      <c r="F43" s="239"/>
      <c r="G43" s="3701"/>
    </row>
    <row r="44" spans="1:7" ht="13.5" customHeight="1">
      <c r="A44" s="780" t="s">
        <v>348</v>
      </c>
      <c r="B44" s="215" t="s">
        <v>428</v>
      </c>
      <c r="C44" s="238">
        <f ca="1">ROUND(IF('数据-取费表'!B22&lt;=1,C40*F22*'数据-取费表'!B21/2,C40*(POWER((1+F22),'数据-取费表'!B21/2)-1)),4)</f>
        <v>6.9999999999999999E-4</v>
      </c>
      <c r="D44" s="238"/>
      <c r="E44" s="238"/>
      <c r="F44" s="239"/>
      <c r="G44" s="3702"/>
    </row>
    <row r="45" spans="1:7" s="214" customFormat="1" ht="13.5" customHeight="1">
      <c r="A45" s="777" t="s">
        <v>341</v>
      </c>
      <c r="B45" s="244" t="s">
        <v>85</v>
      </c>
      <c r="C45" s="245">
        <f>C46</f>
        <v>3229</v>
      </c>
      <c r="D45" s="235">
        <f>C47</f>
        <v>2.5999999999999999E-3</v>
      </c>
      <c r="E45" s="236" t="s">
        <v>102</v>
      </c>
      <c r="F45" s="246"/>
      <c r="G45" s="247" t="s">
        <v>434</v>
      </c>
    </row>
    <row r="46" spans="1:7" s="214" customFormat="1" ht="13.5" customHeight="1">
      <c r="A46" s="780" t="s">
        <v>349</v>
      </c>
      <c r="B46" s="248" t="s">
        <v>427</v>
      </c>
      <c r="C46" s="249">
        <f>ROUND((C33+C39)*F27,0)</f>
        <v>3229</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31290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26597</v>
      </c>
      <c r="D51" s="232"/>
      <c r="E51" s="232"/>
      <c r="F51" s="264"/>
      <c r="G51" s="234" t="s">
        <v>37</v>
      </c>
    </row>
    <row r="52" spans="1:7" s="208" customFormat="1" ht="16.5" thickBot="1">
      <c r="A52" s="265" t="s">
        <v>38</v>
      </c>
      <c r="B52" s="266"/>
      <c r="C52" s="267">
        <f ca="1">C31+C51</f>
        <v>54852</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0" t="s">
        <v>2840</v>
      </c>
      <c r="B1" s="3840"/>
      <c r="C1" s="3840"/>
      <c r="D1" s="3840"/>
      <c r="E1" s="3840"/>
      <c r="F1" s="3840"/>
      <c r="G1" s="3841"/>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38"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39"/>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42" t="s">
        <v>3182</v>
      </c>
      <c r="B1" s="3842"/>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43" t="s">
        <v>3233</v>
      </c>
      <c r="B1" s="3843"/>
      <c r="C1" s="3843"/>
      <c r="D1" s="3843"/>
      <c r="E1" s="3843"/>
      <c r="F1" s="3844"/>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45372</v>
      </c>
      <c r="B1" s="3208" t="s">
        <v>3371</v>
      </c>
      <c r="C1" s="3209"/>
      <c r="D1" s="3209"/>
      <c r="E1" s="3209"/>
      <c r="F1" s="3209"/>
      <c r="G1" s="3209"/>
      <c r="H1" s="3209"/>
      <c r="I1" s="3209"/>
      <c r="J1" s="3163"/>
      <c r="K1" s="3209" t="s">
        <v>454</v>
      </c>
      <c r="L1" s="3209"/>
      <c r="M1" s="3209"/>
      <c r="N1" s="3209"/>
      <c r="O1" s="3209"/>
      <c r="P1" s="3209"/>
      <c r="Q1" s="3163"/>
      <c r="R1" s="3845" t="s">
        <v>456</v>
      </c>
      <c r="S1" s="3846"/>
      <c r="T1" s="3846"/>
      <c r="U1" s="3846"/>
      <c r="V1" s="3846"/>
      <c r="W1" s="3846"/>
      <c r="X1" s="3163"/>
      <c r="Y1" s="3845" t="s">
        <v>457</v>
      </c>
      <c r="Z1" s="3846"/>
      <c r="AA1" s="3846"/>
      <c r="AB1" s="3846"/>
      <c r="AC1" s="3846"/>
      <c r="AD1" s="3846"/>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45" t="s">
        <v>2828</v>
      </c>
      <c r="S23" s="3846"/>
      <c r="T23" s="3846"/>
      <c r="U23" s="3846"/>
      <c r="V23" s="3846"/>
      <c r="W23" s="3846"/>
      <c r="X23" s="3163"/>
      <c r="Y23" s="3845" t="s">
        <v>2829</v>
      </c>
      <c r="Z23" s="3846"/>
      <c r="AA23" s="3846"/>
      <c r="AB23" s="3846"/>
      <c r="AC23" s="3846"/>
      <c r="AD23" s="3846"/>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2" t="s">
        <v>452</v>
      </c>
      <c r="C1" s="3852"/>
      <c r="D1" s="3852"/>
      <c r="E1" s="3852"/>
      <c r="F1" s="3852"/>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5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2310</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O5" sqref="O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3697</v>
      </c>
      <c r="E1" s="3431" t="s">
        <v>3665</v>
      </c>
      <c r="F1" s="1878" t="s">
        <v>3666</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63915</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25270</v>
      </c>
      <c r="C3" s="354" t="s">
        <v>1765</v>
      </c>
      <c r="D3" s="353">
        <f>IF(D1="",'数据-汇总表'!E3,SUMIF('数据-汇总表'!$C19:$C33,D1,'数据-汇总表'!$E19:$E33))</f>
        <v>25292.940000000002</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1766</v>
      </c>
      <c r="B4" s="356"/>
      <c r="C4" s="3747" t="s">
        <v>1767</v>
      </c>
      <c r="D4" s="3748"/>
      <c r="E4" s="3749" t="s">
        <v>1768</v>
      </c>
      <c r="F4" s="3750"/>
      <c r="G4" s="3747" t="s">
        <v>1769</v>
      </c>
      <c r="H4" s="3748"/>
      <c r="I4" s="3747" t="s">
        <v>1770</v>
      </c>
      <c r="J4" s="3748"/>
      <c r="K4" s="559" t="s">
        <v>1771</v>
      </c>
      <c r="L4" s="2713"/>
      <c r="M4" s="2714"/>
      <c r="N4" s="2714"/>
      <c r="O4" s="2714"/>
      <c r="P4" s="3781" t="s">
        <v>1772</v>
      </c>
      <c r="Q4" s="3782"/>
      <c r="R4" s="3785" t="s">
        <v>1768</v>
      </c>
      <c r="S4" s="3786"/>
      <c r="T4" s="3785" t="s">
        <v>1769</v>
      </c>
      <c r="U4" s="3786"/>
      <c r="V4" s="3787" t="s">
        <v>1770</v>
      </c>
      <c r="W4" s="3787"/>
      <c r="X4" s="3494"/>
      <c r="Y4" s="3785" t="s">
        <v>1772</v>
      </c>
      <c r="Z4" s="3786"/>
      <c r="AA4" s="3791" t="s">
        <v>1768</v>
      </c>
      <c r="AB4" s="3791" t="s">
        <v>1769</v>
      </c>
      <c r="AC4" s="3778" t="s">
        <v>1770</v>
      </c>
    </row>
    <row r="5" spans="1:29" ht="15">
      <c r="A5" s="358"/>
      <c r="B5" s="359"/>
      <c r="C5" s="3790" t="s">
        <v>3667</v>
      </c>
      <c r="D5" s="3767"/>
      <c r="E5" s="3788" t="s">
        <v>3670</v>
      </c>
      <c r="F5" s="3774"/>
      <c r="G5" s="3788" t="s">
        <v>3670</v>
      </c>
      <c r="H5" s="3774"/>
      <c r="I5" s="3790" t="s">
        <v>3672</v>
      </c>
      <c r="J5" s="3767"/>
      <c r="K5" s="559"/>
      <c r="L5" s="2713"/>
      <c r="M5" s="2714"/>
      <c r="N5" s="2714"/>
      <c r="O5" s="2714"/>
      <c r="P5" s="3783"/>
      <c r="Q5" s="3754"/>
      <c r="R5" s="3759"/>
      <c r="S5" s="3760"/>
      <c r="T5" s="3759"/>
      <c r="U5" s="3760"/>
      <c r="V5" s="3763"/>
      <c r="W5" s="3763"/>
      <c r="X5" s="3492"/>
      <c r="Y5" s="3759"/>
      <c r="Z5" s="3760"/>
      <c r="AA5" s="3745"/>
      <c r="AB5" s="3745"/>
      <c r="AC5" s="3779"/>
    </row>
    <row r="6" spans="1:29" ht="15.75" thickBot="1">
      <c r="A6" s="360"/>
      <c r="B6" s="361"/>
      <c r="C6" s="3764" t="s">
        <v>1674</v>
      </c>
      <c r="D6" s="3765"/>
      <c r="E6" s="3771" t="s">
        <v>1674</v>
      </c>
      <c r="F6" s="3772"/>
      <c r="G6" s="3764" t="s">
        <v>1674</v>
      </c>
      <c r="H6" s="3765"/>
      <c r="I6" s="3764" t="s">
        <v>1674</v>
      </c>
      <c r="J6" s="3765"/>
      <c r="K6" s="559" t="s">
        <v>1675</v>
      </c>
      <c r="L6" s="2713"/>
      <c r="M6" s="2714"/>
      <c r="N6" s="2714"/>
      <c r="O6" s="2714"/>
      <c r="P6" s="3784"/>
      <c r="Q6" s="3756"/>
      <c r="R6" s="3759"/>
      <c r="S6" s="3760"/>
      <c r="T6" s="3761"/>
      <c r="U6" s="3762"/>
      <c r="V6" s="3763"/>
      <c r="W6" s="3763"/>
      <c r="X6" s="3492"/>
      <c r="Y6" s="3761"/>
      <c r="Z6" s="3762"/>
      <c r="AA6" s="3746"/>
      <c r="AB6" s="3746"/>
      <c r="AC6" s="3780"/>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5"/>
      <c r="M7" s="2716"/>
      <c r="N7" s="2716"/>
      <c r="O7" s="2716"/>
      <c r="P7" s="3789" t="s">
        <v>1677</v>
      </c>
      <c r="Q7" s="3770"/>
      <c r="R7" s="701" t="s">
        <v>14</v>
      </c>
      <c r="S7" s="702">
        <f t="shared" ref="S7:S15" si="0">F7</f>
        <v>100</v>
      </c>
      <c r="T7" s="701" t="s">
        <v>14</v>
      </c>
      <c r="U7" s="702">
        <f t="shared" ref="U7:U15" si="1">H7</f>
        <v>100</v>
      </c>
      <c r="V7" s="701" t="s">
        <v>14</v>
      </c>
      <c r="W7" s="702">
        <f t="shared" ref="W7:W15" si="2">J7</f>
        <v>100</v>
      </c>
      <c r="X7" s="703"/>
      <c r="Y7" s="3768" t="s">
        <v>1677</v>
      </c>
      <c r="Z7" s="3769"/>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5"/>
      <c r="M8" s="2716"/>
      <c r="N8" s="2716"/>
      <c r="O8" s="2716"/>
      <c r="P8" s="3789" t="s">
        <v>1680</v>
      </c>
      <c r="Q8" s="3769"/>
      <c r="R8" s="701" t="s">
        <v>14</v>
      </c>
      <c r="S8" s="702">
        <f t="shared" si="0"/>
        <v>100</v>
      </c>
      <c r="T8" s="701" t="s">
        <v>14</v>
      </c>
      <c r="U8" s="702">
        <f t="shared" si="1"/>
        <v>100</v>
      </c>
      <c r="V8" s="701" t="s">
        <v>14</v>
      </c>
      <c r="W8" s="702">
        <f t="shared" si="2"/>
        <v>100</v>
      </c>
      <c r="X8" s="703"/>
      <c r="Y8" s="3768" t="s">
        <v>1680</v>
      </c>
      <c r="Z8" s="3769"/>
      <c r="AA8" s="704">
        <f t="shared" ref="AA8:AA47" si="3">D8/F8</f>
        <v>1</v>
      </c>
      <c r="AB8" s="704">
        <f t="shared" ref="AB8:AB47" si="4">D8/H8</f>
        <v>1</v>
      </c>
      <c r="AC8" s="1958">
        <f t="shared" ref="AC8:AC47" si="5">D8/J8</f>
        <v>1</v>
      </c>
    </row>
    <row r="9" spans="1:29" s="108" customFormat="1" ht="15">
      <c r="A9" s="369" t="s">
        <v>1681</v>
      </c>
      <c r="B9" s="63" t="s">
        <v>1682</v>
      </c>
      <c r="C9" s="3504" t="s">
        <v>3668</v>
      </c>
      <c r="D9" s="126">
        <v>100</v>
      </c>
      <c r="E9" s="373" t="s">
        <v>21</v>
      </c>
      <c r="F9" s="126">
        <f>SUMIF(64:64,E9,65:65)-SUMIF(64:64,C9,65:65)+100</f>
        <v>108</v>
      </c>
      <c r="G9" s="373" t="s">
        <v>21</v>
      </c>
      <c r="H9" s="126">
        <f>SUMIF(64:64,G9,65:65)-SUMIF(64:64,C9,65:65)+100</f>
        <v>108</v>
      </c>
      <c r="I9" s="373" t="s">
        <v>21</v>
      </c>
      <c r="J9" s="126">
        <f>SUMIF(64:64,I9,65:65)-SUMIF(64:64,C9,65:65)+100</f>
        <v>108</v>
      </c>
      <c r="K9" s="560"/>
      <c r="L9" s="2715"/>
      <c r="M9" s="2716"/>
      <c r="N9" s="2716"/>
      <c r="O9" s="2716"/>
      <c r="P9" s="3743" t="s">
        <v>1683</v>
      </c>
      <c r="Q9" s="3470" t="str">
        <f t="shared" ref="Q9:Q15" si="6">B9</f>
        <v>用途</v>
      </c>
      <c r="R9" s="701" t="s">
        <v>14</v>
      </c>
      <c r="S9" s="702">
        <f t="shared" si="0"/>
        <v>108</v>
      </c>
      <c r="T9" s="701" t="s">
        <v>14</v>
      </c>
      <c r="U9" s="702">
        <f t="shared" si="1"/>
        <v>108</v>
      </c>
      <c r="V9" s="701" t="s">
        <v>14</v>
      </c>
      <c r="W9" s="702">
        <f t="shared" si="2"/>
        <v>108</v>
      </c>
      <c r="X9" s="703"/>
      <c r="Y9" s="3607" t="s">
        <v>1684</v>
      </c>
      <c r="Z9" s="3468" t="str">
        <f t="shared" ref="Z9:Z15" si="7">Q9</f>
        <v>用途</v>
      </c>
      <c r="AA9" s="704">
        <f t="shared" si="3"/>
        <v>0.92592592592592593</v>
      </c>
      <c r="AB9" s="704">
        <f t="shared" si="4"/>
        <v>0.92592592592592593</v>
      </c>
      <c r="AC9" s="1958">
        <f t="shared" si="5"/>
        <v>0.92592592592592593</v>
      </c>
    </row>
    <row r="10" spans="1:29" s="378" customFormat="1" ht="27">
      <c r="A10" s="374"/>
      <c r="B10" s="375" t="s">
        <v>1685</v>
      </c>
      <c r="C10" s="3432" t="s">
        <v>3709</v>
      </c>
      <c r="D10" s="127">
        <v>100</v>
      </c>
      <c r="E10" s="3432" t="s">
        <v>3671</v>
      </c>
      <c r="F10" s="127">
        <f>SUMIF(66:66,E10,67:67)-SUMIF(66:66,C10,67:67)+100</f>
        <v>101</v>
      </c>
      <c r="G10" s="3432" t="s">
        <v>3671</v>
      </c>
      <c r="H10" s="127">
        <f>SUMIF(66:66,G10,67:67)-SUMIF(66:66,C10,67:67)+100</f>
        <v>101</v>
      </c>
      <c r="I10" s="3432" t="s">
        <v>3671</v>
      </c>
      <c r="J10" s="127">
        <f>SUMIF(66:66,I10,67:67)-SUMIF(66:66,C10,67:67)+100</f>
        <v>101</v>
      </c>
      <c r="K10" s="560"/>
      <c r="L10" s="2717"/>
      <c r="M10" s="2718"/>
      <c r="N10" s="2718"/>
      <c r="O10" s="2718"/>
      <c r="P10" s="3743"/>
      <c r="Q10" s="3470" t="str">
        <f t="shared" si="6"/>
        <v>土地使用年限（年）</v>
      </c>
      <c r="R10" s="701" t="s">
        <v>14</v>
      </c>
      <c r="S10" s="702">
        <f t="shared" si="0"/>
        <v>101</v>
      </c>
      <c r="T10" s="701" t="s">
        <v>14</v>
      </c>
      <c r="U10" s="702">
        <f t="shared" si="1"/>
        <v>101</v>
      </c>
      <c r="V10" s="701" t="s">
        <v>14</v>
      </c>
      <c r="W10" s="702">
        <f t="shared" si="2"/>
        <v>101</v>
      </c>
      <c r="X10" s="703"/>
      <c r="Y10" s="3607"/>
      <c r="Z10" s="3468"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19"/>
      <c r="M11" s="2714"/>
      <c r="N11" s="2714"/>
      <c r="O11" s="2714"/>
      <c r="P11" s="3743"/>
      <c r="Q11" s="3470" t="str">
        <f t="shared" si="6"/>
        <v>容积率</v>
      </c>
      <c r="R11" s="701" t="s">
        <v>14</v>
      </c>
      <c r="S11" s="702">
        <f t="shared" si="0"/>
        <v>96</v>
      </c>
      <c r="T11" s="701" t="s">
        <v>14</v>
      </c>
      <c r="U11" s="702">
        <f t="shared" si="1"/>
        <v>96</v>
      </c>
      <c r="V11" s="701" t="s">
        <v>14</v>
      </c>
      <c r="W11" s="702">
        <f t="shared" si="2"/>
        <v>98</v>
      </c>
      <c r="X11" s="703"/>
      <c r="Y11" s="3607"/>
      <c r="Z11" s="3468" t="str">
        <f t="shared" si="7"/>
        <v>容积率</v>
      </c>
      <c r="AA11" s="704">
        <f t="shared" si="3"/>
        <v>1.0416666666666667</v>
      </c>
      <c r="AB11" s="704">
        <f t="shared" si="4"/>
        <v>1.0416666666666667</v>
      </c>
      <c r="AC11" s="1958">
        <f t="shared" si="5"/>
        <v>1.0204081632653061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3"/>
      <c r="Q12" s="3470">
        <f t="shared" si="6"/>
        <v>111</v>
      </c>
      <c r="R12" s="701" t="s">
        <v>14</v>
      </c>
      <c r="S12" s="702">
        <f t="shared" si="0"/>
        <v>100</v>
      </c>
      <c r="T12" s="701" t="s">
        <v>14</v>
      </c>
      <c r="U12" s="702">
        <f t="shared" si="1"/>
        <v>100</v>
      </c>
      <c r="V12" s="701" t="s">
        <v>14</v>
      </c>
      <c r="W12" s="702">
        <f t="shared" si="2"/>
        <v>100</v>
      </c>
      <c r="X12" s="703"/>
      <c r="Y12" s="3607"/>
      <c r="Z12" s="3468">
        <f t="shared" si="7"/>
        <v>111</v>
      </c>
      <c r="AA12" s="704">
        <f>D12/F12</f>
        <v>1</v>
      </c>
      <c r="AB12" s="704">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3"/>
      <c r="Q13" s="3470">
        <f t="shared" si="6"/>
        <v>111</v>
      </c>
      <c r="R13" s="701" t="s">
        <v>14</v>
      </c>
      <c r="S13" s="702">
        <f t="shared" si="0"/>
        <v>100</v>
      </c>
      <c r="T13" s="701" t="s">
        <v>14</v>
      </c>
      <c r="U13" s="702">
        <f t="shared" si="1"/>
        <v>100</v>
      </c>
      <c r="V13" s="701" t="s">
        <v>14</v>
      </c>
      <c r="W13" s="702">
        <f t="shared" si="2"/>
        <v>100</v>
      </c>
      <c r="X13" s="703"/>
      <c r="Y13" s="3607"/>
      <c r="Z13" s="3468">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3"/>
      <c r="Q14" s="3470">
        <f t="shared" si="6"/>
        <v>111</v>
      </c>
      <c r="R14" s="701" t="s">
        <v>14</v>
      </c>
      <c r="S14" s="702">
        <f t="shared" si="0"/>
        <v>100</v>
      </c>
      <c r="T14" s="701" t="s">
        <v>14</v>
      </c>
      <c r="U14" s="702">
        <f t="shared" si="1"/>
        <v>100</v>
      </c>
      <c r="V14" s="701" t="s">
        <v>14</v>
      </c>
      <c r="W14" s="702">
        <f t="shared" si="2"/>
        <v>100</v>
      </c>
      <c r="X14" s="703"/>
      <c r="Y14" s="3607"/>
      <c r="Z14" s="3468">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f>'比较法-办公12号楼'!K15</f>
        <v>5</v>
      </c>
      <c r="L15" s="2720"/>
      <c r="M15" s="2714"/>
      <c r="N15" s="2714"/>
      <c r="O15" s="2714"/>
      <c r="P15" s="3741" t="s">
        <v>1688</v>
      </c>
      <c r="Q15" s="3490" t="str">
        <f t="shared" si="6"/>
        <v>办公集聚程度</v>
      </c>
      <c r="R15" s="705" t="s">
        <v>14</v>
      </c>
      <c r="S15" s="706">
        <f t="shared" si="0"/>
        <v>100</v>
      </c>
      <c r="T15" s="705" t="s">
        <v>14</v>
      </c>
      <c r="U15" s="706">
        <f t="shared" si="1"/>
        <v>100</v>
      </c>
      <c r="V15" s="705" t="s">
        <v>14</v>
      </c>
      <c r="W15" s="706">
        <f t="shared" si="2"/>
        <v>100</v>
      </c>
      <c r="X15" s="3492"/>
      <c r="Y15" s="3734" t="s">
        <v>1688</v>
      </c>
      <c r="Z15" s="3493" t="str">
        <f t="shared" si="7"/>
        <v>办公集聚程度</v>
      </c>
      <c r="AA15" s="3491">
        <f t="shared" si="3"/>
        <v>1</v>
      </c>
      <c r="AB15" s="3491">
        <f t="shared" si="4"/>
        <v>1</v>
      </c>
      <c r="AC15" s="1961">
        <f t="shared" si="5"/>
        <v>1</v>
      </c>
    </row>
    <row r="16" spans="1:29" ht="15">
      <c r="A16" s="379"/>
      <c r="B16" s="578"/>
      <c r="C16" s="1903" t="s">
        <v>3396</v>
      </c>
      <c r="D16" s="399"/>
      <c r="E16" s="398" t="s">
        <v>3396</v>
      </c>
      <c r="F16" s="399"/>
      <c r="G16" s="398" t="s">
        <v>3396</v>
      </c>
      <c r="H16" s="401"/>
      <c r="I16" s="398" t="s">
        <v>3396</v>
      </c>
      <c r="J16" s="399"/>
      <c r="K16" s="564"/>
      <c r="L16" s="2720"/>
      <c r="M16" s="2714"/>
      <c r="N16" s="2714"/>
      <c r="O16" s="2714"/>
      <c r="P16" s="3742"/>
      <c r="Q16" s="3490"/>
      <c r="R16" s="705"/>
      <c r="S16" s="706"/>
      <c r="T16" s="705"/>
      <c r="U16" s="706"/>
      <c r="V16" s="705"/>
      <c r="W16" s="706"/>
      <c r="X16" s="3492"/>
      <c r="Y16" s="3735"/>
      <c r="Z16" s="3493"/>
      <c r="AA16" s="3491">
        <v>1</v>
      </c>
      <c r="AB16" s="3491">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f>'比较法-办公12号楼'!K17</f>
        <v>2</v>
      </c>
      <c r="L17" s="2720"/>
      <c r="M17" s="2714"/>
      <c r="N17" s="2714"/>
      <c r="O17" s="2714"/>
      <c r="P17" s="3742"/>
      <c r="Q17" s="3490" t="str">
        <f>B17</f>
        <v>交通便捷度</v>
      </c>
      <c r="R17" s="705" t="s">
        <v>14</v>
      </c>
      <c r="S17" s="706">
        <f>F17</f>
        <v>102</v>
      </c>
      <c r="T17" s="705" t="s">
        <v>14</v>
      </c>
      <c r="U17" s="706">
        <f>H17</f>
        <v>102</v>
      </c>
      <c r="V17" s="705" t="s">
        <v>14</v>
      </c>
      <c r="W17" s="706">
        <f>J17</f>
        <v>102</v>
      </c>
      <c r="X17" s="3492"/>
      <c r="Y17" s="3735"/>
      <c r="Z17" s="3493" t="str">
        <f>Q17</f>
        <v>交通便捷度</v>
      </c>
      <c r="AA17" s="3491">
        <f t="shared" si="3"/>
        <v>0.98039215686274506</v>
      </c>
      <c r="AB17" s="3491">
        <f t="shared" si="4"/>
        <v>0.98039215686274506</v>
      </c>
      <c r="AC17" s="1961">
        <f t="shared" si="5"/>
        <v>0.98039215686274506</v>
      </c>
    </row>
    <row r="18" spans="1:29" ht="15">
      <c r="A18" s="379"/>
      <c r="B18" s="580"/>
      <c r="C18" s="1963" t="s">
        <v>3396</v>
      </c>
      <c r="D18" s="401"/>
      <c r="E18" s="1901" t="s">
        <v>3612</v>
      </c>
      <c r="F18" s="401"/>
      <c r="G18" s="1901" t="s">
        <v>3612</v>
      </c>
      <c r="H18" s="399"/>
      <c r="I18" s="1901" t="s">
        <v>3612</v>
      </c>
      <c r="J18" s="399"/>
      <c r="K18" s="564"/>
      <c r="L18" s="2720"/>
      <c r="M18" s="2714"/>
      <c r="N18" s="2714"/>
      <c r="O18" s="2714"/>
      <c r="P18" s="3742"/>
      <c r="Q18" s="3490"/>
      <c r="R18" s="705"/>
      <c r="S18" s="706"/>
      <c r="T18" s="705"/>
      <c r="U18" s="706"/>
      <c r="V18" s="705"/>
      <c r="W18" s="706"/>
      <c r="X18" s="3492"/>
      <c r="Y18" s="3735"/>
      <c r="Z18" s="3493"/>
      <c r="AA18" s="3491">
        <v>1</v>
      </c>
      <c r="AB18" s="3491">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102</v>
      </c>
      <c r="G19" s="408"/>
      <c r="H19" s="401">
        <f>SUMIF(81:81,G20,82:82)-SUMIF(81:81,C20,82:82)+100</f>
        <v>102</v>
      </c>
      <c r="I19" s="408"/>
      <c r="J19" s="401">
        <f>SUMIF(81:81,I20,82:82)-SUMIF(81:81,C20,82:82)+100</f>
        <v>102</v>
      </c>
      <c r="K19" s="563">
        <f>'比较法-办公12号楼'!K19</f>
        <v>2</v>
      </c>
      <c r="L19" s="2720"/>
      <c r="M19" s="2714"/>
      <c r="N19" s="2714"/>
      <c r="O19" s="2714"/>
      <c r="P19" s="3742"/>
      <c r="Q19" s="3490" t="str">
        <f>B19</f>
        <v>公共配套设施</v>
      </c>
      <c r="R19" s="705" t="s">
        <v>14</v>
      </c>
      <c r="S19" s="706">
        <f>F19</f>
        <v>102</v>
      </c>
      <c r="T19" s="705" t="s">
        <v>14</v>
      </c>
      <c r="U19" s="706">
        <f>H19</f>
        <v>102</v>
      </c>
      <c r="V19" s="705" t="s">
        <v>14</v>
      </c>
      <c r="W19" s="706">
        <f>J19</f>
        <v>102</v>
      </c>
      <c r="X19" s="3492"/>
      <c r="Y19" s="3735"/>
      <c r="Z19" s="3493" t="str">
        <f>Q19</f>
        <v>公共配套设施</v>
      </c>
      <c r="AA19" s="3491">
        <f t="shared" si="3"/>
        <v>0.98039215686274506</v>
      </c>
      <c r="AB19" s="3491">
        <f t="shared" si="4"/>
        <v>0.98039215686274506</v>
      </c>
      <c r="AC19" s="1961">
        <f t="shared" si="5"/>
        <v>0.98039215686274506</v>
      </c>
    </row>
    <row r="20" spans="1:29" ht="15">
      <c r="A20" s="379"/>
      <c r="B20" s="580"/>
      <c r="C20" s="1903" t="s">
        <v>3396</v>
      </c>
      <c r="D20" s="399"/>
      <c r="E20" s="1896" t="s">
        <v>3612</v>
      </c>
      <c r="F20" s="399"/>
      <c r="G20" s="1896" t="s">
        <v>3612</v>
      </c>
      <c r="H20" s="399"/>
      <c r="I20" s="1896" t="s">
        <v>3612</v>
      </c>
      <c r="J20" s="399"/>
      <c r="K20" s="564"/>
      <c r="L20" s="2720"/>
      <c r="M20" s="2714"/>
      <c r="N20" s="2714"/>
      <c r="O20" s="2714"/>
      <c r="P20" s="3742"/>
      <c r="Q20" s="3490"/>
      <c r="R20" s="705"/>
      <c r="S20" s="706"/>
      <c r="T20" s="705"/>
      <c r="U20" s="706"/>
      <c r="V20" s="705"/>
      <c r="W20" s="706"/>
      <c r="X20" s="3492"/>
      <c r="Y20" s="3735"/>
      <c r="Z20" s="3493"/>
      <c r="AA20" s="3491">
        <v>1</v>
      </c>
      <c r="AB20" s="3491">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'比较法-办公12号楼'!K21</f>
        <v>1</v>
      </c>
      <c r="L21" s="2720"/>
      <c r="M21" s="2714"/>
      <c r="N21" s="2714"/>
      <c r="O21" s="2714"/>
      <c r="P21" s="3742"/>
      <c r="Q21" s="3490" t="str">
        <f>B21</f>
        <v>基础设施水平</v>
      </c>
      <c r="R21" s="705" t="s">
        <v>14</v>
      </c>
      <c r="S21" s="706">
        <f>F21</f>
        <v>100</v>
      </c>
      <c r="T21" s="705" t="s">
        <v>14</v>
      </c>
      <c r="U21" s="706">
        <f>H21</f>
        <v>100</v>
      </c>
      <c r="V21" s="705" t="s">
        <v>14</v>
      </c>
      <c r="W21" s="706">
        <f>J21</f>
        <v>100</v>
      </c>
      <c r="X21" s="3492"/>
      <c r="Y21" s="3735"/>
      <c r="Z21" s="3493" t="str">
        <f>Q21</f>
        <v>基础设施水平</v>
      </c>
      <c r="AA21" s="3491">
        <f t="shared" ref="AA21" si="8">D21/F21</f>
        <v>1</v>
      </c>
      <c r="AB21" s="3491">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0"/>
      <c r="M22" s="2714"/>
      <c r="N22" s="2714"/>
      <c r="O22" s="2714"/>
      <c r="P22" s="3742"/>
      <c r="Q22" s="3490"/>
      <c r="R22" s="705"/>
      <c r="S22" s="706"/>
      <c r="T22" s="705"/>
      <c r="U22" s="706"/>
      <c r="V22" s="705"/>
      <c r="W22" s="706"/>
      <c r="X22" s="3492"/>
      <c r="Y22" s="3735"/>
      <c r="Z22" s="3493"/>
      <c r="AA22" s="3491">
        <v>1</v>
      </c>
      <c r="AB22" s="3491">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f>'比较法-办公12号楼'!K23</f>
        <v>2</v>
      </c>
      <c r="L23" s="2720"/>
      <c r="M23" s="2714"/>
      <c r="N23" s="2714"/>
      <c r="O23" s="2714"/>
      <c r="P23" s="3742"/>
      <c r="Q23" s="3490" t="str">
        <f>B23</f>
        <v>环境质量</v>
      </c>
      <c r="R23" s="705" t="s">
        <v>14</v>
      </c>
      <c r="S23" s="706">
        <f>F23</f>
        <v>102</v>
      </c>
      <c r="T23" s="705" t="s">
        <v>14</v>
      </c>
      <c r="U23" s="706">
        <f>H23</f>
        <v>102</v>
      </c>
      <c r="V23" s="705" t="s">
        <v>14</v>
      </c>
      <c r="W23" s="706">
        <f>J23</f>
        <v>102</v>
      </c>
      <c r="X23" s="3492"/>
      <c r="Y23" s="3735"/>
      <c r="Z23" s="3493" t="str">
        <f>Q23</f>
        <v>环境质量</v>
      </c>
      <c r="AA23" s="3491">
        <f t="shared" si="3"/>
        <v>0.98039215686274506</v>
      </c>
      <c r="AB23" s="3491">
        <f t="shared" si="4"/>
        <v>0.98039215686274506</v>
      </c>
      <c r="AC23" s="1961">
        <f t="shared" si="5"/>
        <v>0.98039215686274506</v>
      </c>
    </row>
    <row r="24" spans="1:29" ht="15">
      <c r="A24" s="379"/>
      <c r="B24" s="581"/>
      <c r="C24" s="1903" t="s">
        <v>3396</v>
      </c>
      <c r="D24" s="399"/>
      <c r="E24" s="1896" t="s">
        <v>3612</v>
      </c>
      <c r="F24" s="399"/>
      <c r="G24" s="1896" t="s">
        <v>3612</v>
      </c>
      <c r="H24" s="399"/>
      <c r="I24" s="1896" t="s">
        <v>3612</v>
      </c>
      <c r="J24" s="399"/>
      <c r="K24" s="564"/>
      <c r="L24" s="2720"/>
      <c r="M24" s="2714"/>
      <c r="N24" s="2714"/>
      <c r="O24" s="2714"/>
      <c r="P24" s="3742"/>
      <c r="Q24" s="3490"/>
      <c r="R24" s="705"/>
      <c r="S24" s="706"/>
      <c r="T24" s="705"/>
      <c r="U24" s="706"/>
      <c r="V24" s="705"/>
      <c r="W24" s="706"/>
      <c r="X24" s="3492"/>
      <c r="Y24" s="3735"/>
      <c r="Z24" s="3493"/>
      <c r="AA24" s="3491">
        <v>1</v>
      </c>
      <c r="AB24" s="3491">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0"/>
      <c r="M25" s="2714"/>
      <c r="N25" s="2714"/>
      <c r="O25" s="2714"/>
      <c r="P25" s="3742"/>
      <c r="Q25" s="3490" t="str">
        <f>B25</f>
        <v>毗邻道路的类型与等级</v>
      </c>
      <c r="R25" s="705" t="s">
        <v>14</v>
      </c>
      <c r="S25" s="706">
        <f>F25</f>
        <v>100</v>
      </c>
      <c r="T25" s="705" t="s">
        <v>14</v>
      </c>
      <c r="U25" s="706">
        <f>H25</f>
        <v>100</v>
      </c>
      <c r="V25" s="705" t="s">
        <v>14</v>
      </c>
      <c r="W25" s="706">
        <f>J25</f>
        <v>100</v>
      </c>
      <c r="X25" s="3492"/>
      <c r="Y25" s="3735"/>
      <c r="Z25" s="3493" t="str">
        <f>Q25</f>
        <v>毗邻道路的类型与等级</v>
      </c>
      <c r="AA25" s="3491">
        <f t="shared" si="3"/>
        <v>1</v>
      </c>
      <c r="AB25" s="3491">
        <f t="shared" si="4"/>
        <v>1</v>
      </c>
      <c r="AC25" s="1961">
        <f t="shared" si="5"/>
        <v>1</v>
      </c>
    </row>
    <row r="26" spans="1:29" ht="15" hidden="1">
      <c r="A26" s="358"/>
      <c r="B26" s="580"/>
      <c r="C26" s="582"/>
      <c r="D26" s="386"/>
      <c r="E26" s="565"/>
      <c r="F26" s="386"/>
      <c r="G26" s="582"/>
      <c r="H26" s="386"/>
      <c r="I26" s="565"/>
      <c r="J26" s="386"/>
      <c r="K26" s="564"/>
      <c r="L26" s="2720"/>
      <c r="M26" s="2714"/>
      <c r="N26" s="2714"/>
      <c r="O26" s="2714"/>
      <c r="P26" s="3742"/>
      <c r="Q26" s="3490"/>
      <c r="R26" s="705"/>
      <c r="S26" s="706"/>
      <c r="T26" s="705"/>
      <c r="U26" s="706"/>
      <c r="V26" s="705"/>
      <c r="W26" s="706"/>
      <c r="X26" s="3492"/>
      <c r="Y26" s="3735"/>
      <c r="Z26" s="3493"/>
      <c r="AA26" s="3491">
        <v>1</v>
      </c>
      <c r="AB26" s="3491">
        <v>1</v>
      </c>
      <c r="AC26" s="1961">
        <v>1</v>
      </c>
    </row>
    <row r="27" spans="1:29" ht="15.75" thickBot="1">
      <c r="A27" s="379"/>
      <c r="B27" s="580" t="s">
        <v>1780</v>
      </c>
      <c r="C27" s="582" t="s">
        <v>3673</v>
      </c>
      <c r="D27" s="386">
        <v>100</v>
      </c>
      <c r="E27" s="565" t="s">
        <v>3675</v>
      </c>
      <c r="F27" s="386">
        <f>SUMIF(89:89,E27,90:90)-SUMIF(89:89,C27,90:90)+100</f>
        <v>104</v>
      </c>
      <c r="G27" s="565" t="s">
        <v>3675</v>
      </c>
      <c r="H27" s="386">
        <f>SUMIF(89:89,G27,90:90)-SUMIF(89:89,C27,90:90)+100</f>
        <v>104</v>
      </c>
      <c r="I27" s="565" t="s">
        <v>3675</v>
      </c>
      <c r="J27" s="386">
        <f>SUMIF(89:89,I27,90:90)-SUMIF(89:89,C27,90:90)+100</f>
        <v>104</v>
      </c>
      <c r="K27" s="561">
        <f>'比较法-办公12号楼'!K27</f>
        <v>4</v>
      </c>
      <c r="L27" s="2720"/>
      <c r="M27" s="2714"/>
      <c r="N27" s="2714"/>
      <c r="O27" s="2714"/>
      <c r="P27" s="3742"/>
      <c r="Q27" s="3490" t="str">
        <f t="shared" ref="Q27:Q47" si="11">B27</f>
        <v>楼层</v>
      </c>
      <c r="R27" s="705" t="s">
        <v>14</v>
      </c>
      <c r="S27" s="706">
        <f>F27</f>
        <v>104</v>
      </c>
      <c r="T27" s="705" t="s">
        <v>14</v>
      </c>
      <c r="U27" s="706">
        <f>H27</f>
        <v>104</v>
      </c>
      <c r="V27" s="705" t="s">
        <v>14</v>
      </c>
      <c r="W27" s="706">
        <f>J27</f>
        <v>104</v>
      </c>
      <c r="X27" s="3492"/>
      <c r="Y27" s="3735"/>
      <c r="Z27" s="3493" t="str">
        <f>Q27</f>
        <v>楼层</v>
      </c>
      <c r="AA27" s="3491">
        <f t="shared" si="3"/>
        <v>0.96153846153846156</v>
      </c>
      <c r="AB27" s="3491">
        <f t="shared" si="4"/>
        <v>0.96153846153846156</v>
      </c>
      <c r="AC27" s="1961">
        <f t="shared" si="5"/>
        <v>0.96153846153846156</v>
      </c>
    </row>
    <row r="28" spans="1:29" s="108" customFormat="1" ht="15.75" hidden="1" thickBot="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2"/>
      <c r="Q28" s="3470" t="str">
        <f t="shared" si="11"/>
        <v>朝向</v>
      </c>
      <c r="R28" s="701" t="s">
        <v>14</v>
      </c>
      <c r="S28" s="702">
        <f>F28</f>
        <v>100</v>
      </c>
      <c r="T28" s="701" t="s">
        <v>14</v>
      </c>
      <c r="U28" s="702">
        <f>H28</f>
        <v>100</v>
      </c>
      <c r="V28" s="701" t="s">
        <v>14</v>
      </c>
      <c r="W28" s="702">
        <f>J28</f>
        <v>100</v>
      </c>
      <c r="X28" s="703"/>
      <c r="Y28" s="3735"/>
      <c r="Z28" s="3468" t="str">
        <f>Q28</f>
        <v>朝向</v>
      </c>
      <c r="AA28" s="3491">
        <f>D28/F28</f>
        <v>1</v>
      </c>
      <c r="AB28" s="3491">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2"/>
      <c r="Q29" s="3490">
        <f t="shared" si="11"/>
        <v>111</v>
      </c>
      <c r="R29" s="705" t="s">
        <v>14</v>
      </c>
      <c r="S29" s="706">
        <f t="shared" ref="S29:S47" si="12">F29</f>
        <v>100</v>
      </c>
      <c r="T29" s="705" t="s">
        <v>14</v>
      </c>
      <c r="U29" s="706">
        <f t="shared" ref="U29:U47" si="13">H29</f>
        <v>100</v>
      </c>
      <c r="V29" s="705" t="s">
        <v>14</v>
      </c>
      <c r="W29" s="706">
        <f t="shared" ref="W29:W47" si="14">J29</f>
        <v>100</v>
      </c>
      <c r="X29" s="3492"/>
      <c r="Y29" s="3735"/>
      <c r="Z29" s="3493">
        <f t="shared" ref="Z29:Z47" si="15">Q29</f>
        <v>111</v>
      </c>
      <c r="AA29" s="3491">
        <f t="shared" si="3"/>
        <v>1</v>
      </c>
      <c r="AB29" s="3491">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2"/>
      <c r="Q30" s="3490">
        <f t="shared" si="11"/>
        <v>111</v>
      </c>
      <c r="R30" s="705" t="s">
        <v>14</v>
      </c>
      <c r="S30" s="706">
        <f t="shared" si="12"/>
        <v>100</v>
      </c>
      <c r="T30" s="705" t="s">
        <v>14</v>
      </c>
      <c r="U30" s="706">
        <f t="shared" si="13"/>
        <v>100</v>
      </c>
      <c r="V30" s="705" t="s">
        <v>14</v>
      </c>
      <c r="W30" s="706">
        <f t="shared" si="14"/>
        <v>100</v>
      </c>
      <c r="X30" s="3492"/>
      <c r="Y30" s="3735"/>
      <c r="Z30" s="3493">
        <f t="shared" si="15"/>
        <v>111</v>
      </c>
      <c r="AA30" s="3491">
        <f t="shared" si="3"/>
        <v>1</v>
      </c>
      <c r="AB30" s="3491">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2"/>
      <c r="Q31" s="3490">
        <f t="shared" si="11"/>
        <v>111</v>
      </c>
      <c r="R31" s="705" t="s">
        <v>14</v>
      </c>
      <c r="S31" s="706">
        <f t="shared" si="12"/>
        <v>100</v>
      </c>
      <c r="T31" s="705" t="s">
        <v>14</v>
      </c>
      <c r="U31" s="706">
        <f t="shared" si="13"/>
        <v>100</v>
      </c>
      <c r="V31" s="705" t="s">
        <v>14</v>
      </c>
      <c r="W31" s="706">
        <f t="shared" si="14"/>
        <v>100</v>
      </c>
      <c r="X31" s="3492"/>
      <c r="Y31" s="3735"/>
      <c r="Z31" s="3493">
        <f t="shared" si="15"/>
        <v>111</v>
      </c>
      <c r="AA31" s="3491">
        <f t="shared" si="3"/>
        <v>1</v>
      </c>
      <c r="AB31" s="3491">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2"/>
      <c r="Q32" s="3490">
        <f t="shared" si="11"/>
        <v>111</v>
      </c>
      <c r="R32" s="705" t="s">
        <v>14</v>
      </c>
      <c r="S32" s="706">
        <f t="shared" si="12"/>
        <v>100</v>
      </c>
      <c r="T32" s="705" t="s">
        <v>14</v>
      </c>
      <c r="U32" s="706">
        <f t="shared" si="13"/>
        <v>100</v>
      </c>
      <c r="V32" s="705" t="s">
        <v>14</v>
      </c>
      <c r="W32" s="706">
        <f t="shared" si="14"/>
        <v>100</v>
      </c>
      <c r="X32" s="3492"/>
      <c r="Y32" s="3735"/>
      <c r="Z32" s="3493">
        <f t="shared" si="15"/>
        <v>111</v>
      </c>
      <c r="AA32" s="3491">
        <f t="shared" si="3"/>
        <v>1</v>
      </c>
      <c r="AB32" s="3491">
        <f t="shared" si="4"/>
        <v>1</v>
      </c>
      <c r="AC32" s="1961">
        <f t="shared" si="5"/>
        <v>1</v>
      </c>
    </row>
    <row r="33" spans="1:29" ht="15">
      <c r="A33" s="391" t="s">
        <v>1691</v>
      </c>
      <c r="B33" s="63" t="s">
        <v>1814</v>
      </c>
      <c r="C33" s="1966" t="s">
        <v>3677</v>
      </c>
      <c r="D33" s="418">
        <v>100</v>
      </c>
      <c r="E33" s="1966" t="s">
        <v>3677</v>
      </c>
      <c r="F33" s="412">
        <f>SUMIF(101:101,E33,102:102)-SUMIF(101:101,C33,102:102)+100</f>
        <v>100</v>
      </c>
      <c r="G33" s="1966" t="s">
        <v>3677</v>
      </c>
      <c r="H33" s="386">
        <f>SUMIF(101:101,G33,102:102)-SUMIF(101:101,C33,102:102)+100</f>
        <v>100</v>
      </c>
      <c r="I33" s="1966" t="s">
        <v>3677</v>
      </c>
      <c r="J33" s="418">
        <f>SUMIF(101:101,I33,102:102)-SUMIF(101:101,C33,102:102)+100</f>
        <v>100</v>
      </c>
      <c r="K33" s="561">
        <f>'比较法-办公12号楼'!K33</f>
        <v>2</v>
      </c>
      <c r="L33" s="2720"/>
      <c r="M33" s="2714"/>
      <c r="N33" s="2714"/>
      <c r="O33" s="2714"/>
      <c r="P33" s="3736" t="s">
        <v>1693</v>
      </c>
      <c r="Q33" s="3490" t="str">
        <f t="shared" si="11"/>
        <v>建筑类型</v>
      </c>
      <c r="R33" s="705" t="s">
        <v>14</v>
      </c>
      <c r="S33" s="706">
        <f t="shared" si="12"/>
        <v>100</v>
      </c>
      <c r="T33" s="705" t="s">
        <v>14</v>
      </c>
      <c r="U33" s="706">
        <f t="shared" si="13"/>
        <v>100</v>
      </c>
      <c r="V33" s="705" t="s">
        <v>14</v>
      </c>
      <c r="W33" s="706">
        <f t="shared" si="14"/>
        <v>100</v>
      </c>
      <c r="X33" s="3492"/>
      <c r="Y33" s="3739" t="s">
        <v>1693</v>
      </c>
      <c r="Z33" s="3493" t="str">
        <f t="shared" si="15"/>
        <v>建筑类型</v>
      </c>
      <c r="AA33" s="3491">
        <f t="shared" si="3"/>
        <v>1</v>
      </c>
      <c r="AB33" s="3491">
        <f t="shared" si="4"/>
        <v>1</v>
      </c>
      <c r="AC33" s="1961">
        <f t="shared" si="5"/>
        <v>1</v>
      </c>
    </row>
    <row r="34" spans="1:29" s="422" customFormat="1" ht="15">
      <c r="A34" s="419"/>
      <c r="B34" s="375" t="s">
        <v>1694</v>
      </c>
      <c r="C34" s="420">
        <f>D3</f>
        <v>25292.940000000002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19"/>
      <c r="M34" s="2721"/>
      <c r="N34" s="2721"/>
      <c r="O34" s="2721"/>
      <c r="P34" s="3737"/>
      <c r="Q34" s="707" t="str">
        <f t="shared" si="11"/>
        <v>项目建筑规模</v>
      </c>
      <c r="R34" s="708" t="s">
        <v>14</v>
      </c>
      <c r="S34" s="709">
        <f t="shared" si="12"/>
        <v>102</v>
      </c>
      <c r="T34" s="708" t="s">
        <v>14</v>
      </c>
      <c r="U34" s="709">
        <f t="shared" si="13"/>
        <v>102</v>
      </c>
      <c r="V34" s="708" t="s">
        <v>14</v>
      </c>
      <c r="W34" s="709">
        <f t="shared" si="14"/>
        <v>102</v>
      </c>
      <c r="X34" s="710"/>
      <c r="Y34" s="3739"/>
      <c r="Z34" s="711" t="str">
        <f t="shared" si="15"/>
        <v>项目建筑规模</v>
      </c>
      <c r="AA34" s="3491">
        <f t="shared" si="3"/>
        <v>0.98039215686274506</v>
      </c>
      <c r="AB34" s="3491">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f>'比较法-办公12号楼'!K35</f>
        <v>1</v>
      </c>
      <c r="L35" s="2720"/>
      <c r="M35" s="2714"/>
      <c r="N35" s="2714"/>
      <c r="O35" s="2714"/>
      <c r="P35" s="3737"/>
      <c r="Q35" s="3490" t="str">
        <f t="shared" si="11"/>
        <v>建筑结构</v>
      </c>
      <c r="R35" s="705" t="s">
        <v>14</v>
      </c>
      <c r="S35" s="706">
        <f t="shared" si="12"/>
        <v>100</v>
      </c>
      <c r="T35" s="705" t="s">
        <v>14</v>
      </c>
      <c r="U35" s="706">
        <f t="shared" si="13"/>
        <v>100</v>
      </c>
      <c r="V35" s="705" t="s">
        <v>14</v>
      </c>
      <c r="W35" s="706">
        <f t="shared" si="14"/>
        <v>100</v>
      </c>
      <c r="X35" s="3492"/>
      <c r="Y35" s="3739"/>
      <c r="Z35" s="3493" t="str">
        <f t="shared" si="15"/>
        <v>建筑结构</v>
      </c>
      <c r="AA35" s="3491">
        <f t="shared" si="3"/>
        <v>1</v>
      </c>
      <c r="AB35" s="3491">
        <f t="shared" si="4"/>
        <v>1</v>
      </c>
      <c r="AC35" s="1961">
        <f t="shared" si="5"/>
        <v>1</v>
      </c>
    </row>
    <row r="36" spans="1:29" ht="15">
      <c r="A36" s="423"/>
      <c r="B36" s="375" t="s">
        <v>1782</v>
      </c>
      <c r="C36" s="411" t="s">
        <v>3680</v>
      </c>
      <c r="D36" s="386">
        <v>100</v>
      </c>
      <c r="E36" s="411" t="s">
        <v>3680</v>
      </c>
      <c r="F36" s="412">
        <f>SUMIF(108:108,E36,109:109)-SUMIF(108:108,C36,109:109)+100</f>
        <v>100</v>
      </c>
      <c r="G36" s="411" t="s">
        <v>3680</v>
      </c>
      <c r="H36" s="386">
        <f>SUMIF(108:108,G36,109:109)-SUMIF(108:108,C36,109:109)+100</f>
        <v>100</v>
      </c>
      <c r="I36" s="411" t="s">
        <v>3680</v>
      </c>
      <c r="J36" s="386">
        <f>SUMIF(108:108,I36,109:109)-SUMIF(108:108,C36,109:109)+100</f>
        <v>100</v>
      </c>
      <c r="K36" s="561">
        <f>'比较法-办公12号楼'!K36</f>
        <v>2</v>
      </c>
      <c r="L36" s="2720"/>
      <c r="M36" s="2714"/>
      <c r="N36" s="2714"/>
      <c r="O36" s="2714"/>
      <c r="P36" s="3737"/>
      <c r="Q36" s="3490" t="str">
        <f t="shared" si="11"/>
        <v>公共部分装修</v>
      </c>
      <c r="R36" s="705" t="s">
        <v>14</v>
      </c>
      <c r="S36" s="706">
        <f t="shared" si="12"/>
        <v>100</v>
      </c>
      <c r="T36" s="705" t="s">
        <v>14</v>
      </c>
      <c r="U36" s="706">
        <f t="shared" si="13"/>
        <v>100</v>
      </c>
      <c r="V36" s="705" t="s">
        <v>14</v>
      </c>
      <c r="W36" s="706">
        <f t="shared" si="14"/>
        <v>100</v>
      </c>
      <c r="X36" s="3492"/>
      <c r="Y36" s="3739"/>
      <c r="Z36" s="3493" t="str">
        <f t="shared" si="15"/>
        <v>公共部分装修</v>
      </c>
      <c r="AA36" s="3491">
        <f t="shared" si="3"/>
        <v>1</v>
      </c>
      <c r="AB36" s="3491">
        <f t="shared" si="4"/>
        <v>1</v>
      </c>
      <c r="AC36" s="1961">
        <f t="shared" si="5"/>
        <v>1</v>
      </c>
    </row>
    <row r="37" spans="1:29" ht="15">
      <c r="A37" s="423"/>
      <c r="B37" s="375" t="s">
        <v>1783</v>
      </c>
      <c r="C37" s="425">
        <f>'数据-取费表'!N6</f>
        <v>0.85</v>
      </c>
      <c r="D37" s="386">
        <v>100</v>
      </c>
      <c r="E37" s="425">
        <v>0.95</v>
      </c>
      <c r="F37" s="412">
        <f>LOOKUP(E37,111:111,112:112)-LOOKUP(C37,111:111,112:112)+100</f>
        <v>101</v>
      </c>
      <c r="G37" s="425">
        <v>0.95</v>
      </c>
      <c r="H37" s="412">
        <f>LOOKUP(G37,111:111,112:112)-LOOKUP(C37,111:111,112:112)+100</f>
        <v>101</v>
      </c>
      <c r="I37" s="425">
        <v>0.96</v>
      </c>
      <c r="J37" s="386">
        <f>LOOKUP(I37,111:111,112:112)-LOOKUP(C37,111:111,112:112)+100</f>
        <v>101</v>
      </c>
      <c r="K37" s="561">
        <f>'比较法-办公12号楼'!K37</f>
        <v>1</v>
      </c>
      <c r="L37" s="2720"/>
      <c r="M37" s="2714"/>
      <c r="N37" s="2714"/>
      <c r="O37" s="2714"/>
      <c r="P37" s="3737"/>
      <c r="Q37" s="3490" t="str">
        <f t="shared" si="11"/>
        <v>成新度</v>
      </c>
      <c r="R37" s="705" t="s">
        <v>14</v>
      </c>
      <c r="S37" s="706">
        <f t="shared" si="12"/>
        <v>101</v>
      </c>
      <c r="T37" s="705" t="s">
        <v>14</v>
      </c>
      <c r="U37" s="706">
        <f t="shared" si="13"/>
        <v>101</v>
      </c>
      <c r="V37" s="705" t="s">
        <v>14</v>
      </c>
      <c r="W37" s="706">
        <f t="shared" si="14"/>
        <v>101</v>
      </c>
      <c r="X37" s="3492"/>
      <c r="Y37" s="3739"/>
      <c r="Z37" s="3493" t="str">
        <f t="shared" si="15"/>
        <v>成新度</v>
      </c>
      <c r="AA37" s="3491">
        <f t="shared" si="3"/>
        <v>0.99009900990099009</v>
      </c>
      <c r="AB37" s="3491">
        <f t="shared" si="4"/>
        <v>0.99009900990099009</v>
      </c>
      <c r="AC37" s="1961">
        <f t="shared" si="5"/>
        <v>0.99009900990099009</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7"/>
      <c r="Q38" s="3470" t="str">
        <f t="shared" si="11"/>
        <v>写字楼等级</v>
      </c>
      <c r="R38" s="701" t="s">
        <v>14</v>
      </c>
      <c r="S38" s="702">
        <f t="shared" si="12"/>
        <v>100</v>
      </c>
      <c r="T38" s="701" t="s">
        <v>14</v>
      </c>
      <c r="U38" s="702">
        <f t="shared" si="13"/>
        <v>100</v>
      </c>
      <c r="V38" s="701" t="s">
        <v>14</v>
      </c>
      <c r="W38" s="702">
        <f t="shared" si="14"/>
        <v>100</v>
      </c>
      <c r="X38" s="703"/>
      <c r="Y38" s="3739"/>
      <c r="Z38" s="3468" t="str">
        <f t="shared" si="15"/>
        <v>写字楼等级</v>
      </c>
      <c r="AA38" s="704">
        <f t="shared" si="3"/>
        <v>1</v>
      </c>
      <c r="AB38" s="704">
        <f t="shared" si="4"/>
        <v>1</v>
      </c>
      <c r="AC38" s="1958">
        <f t="shared" si="5"/>
        <v>1</v>
      </c>
    </row>
    <row r="39" spans="1:29" ht="15">
      <c r="A39" s="423"/>
      <c r="B39" s="375" t="s">
        <v>1816</v>
      </c>
      <c r="C39" s="411" t="s">
        <v>3684</v>
      </c>
      <c r="D39" s="386">
        <v>100</v>
      </c>
      <c r="E39" s="411" t="s">
        <v>3684</v>
      </c>
      <c r="F39" s="412">
        <f>SUMIF(115:115,E39,116:116)-SUMIF(115:115,C39,116:116)+100</f>
        <v>100</v>
      </c>
      <c r="G39" s="411" t="s">
        <v>3684</v>
      </c>
      <c r="H39" s="386">
        <f>SUMIF(115:115,G39,116:116)-SUMIF(115:115,C39,116:116)+100</f>
        <v>100</v>
      </c>
      <c r="I39" s="411" t="s">
        <v>3684</v>
      </c>
      <c r="J39" s="386">
        <f>SUMIF(115:115,I39,116:116)-SUMIF(115:115,C39,116:116)+100</f>
        <v>100</v>
      </c>
      <c r="K39" s="561">
        <f>'比较法-办公12号楼'!K39</f>
        <v>1</v>
      </c>
      <c r="L39" s="2720"/>
      <c r="M39" s="2714"/>
      <c r="N39" s="2714"/>
      <c r="O39" s="2714"/>
      <c r="P39" s="3737" t="s">
        <v>1693</v>
      </c>
      <c r="Q39" s="3490" t="str">
        <f t="shared" si="11"/>
        <v>物业管理</v>
      </c>
      <c r="R39" s="705" t="s">
        <v>14</v>
      </c>
      <c r="S39" s="706">
        <f t="shared" si="12"/>
        <v>100</v>
      </c>
      <c r="T39" s="705" t="s">
        <v>14</v>
      </c>
      <c r="U39" s="706">
        <f t="shared" si="13"/>
        <v>100</v>
      </c>
      <c r="V39" s="705" t="s">
        <v>14</v>
      </c>
      <c r="W39" s="706">
        <f t="shared" si="14"/>
        <v>100</v>
      </c>
      <c r="X39" s="3492"/>
      <c r="Y39" s="3739" t="s">
        <v>1693</v>
      </c>
      <c r="Z39" s="3493" t="str">
        <f t="shared" si="15"/>
        <v>物业管理</v>
      </c>
      <c r="AA39" s="3491">
        <f t="shared" si="3"/>
        <v>1</v>
      </c>
      <c r="AB39" s="3491">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f>'比较法-办公12号楼'!K40</f>
        <v>1</v>
      </c>
      <c r="L40" s="2720"/>
      <c r="M40" s="2714"/>
      <c r="N40" s="2714"/>
      <c r="O40" s="2714"/>
      <c r="P40" s="3737"/>
      <c r="Q40" s="3490" t="str">
        <f t="shared" si="11"/>
        <v>市政基础设施</v>
      </c>
      <c r="R40" s="705" t="s">
        <v>14</v>
      </c>
      <c r="S40" s="706">
        <f t="shared" si="12"/>
        <v>100</v>
      </c>
      <c r="T40" s="705" t="s">
        <v>14</v>
      </c>
      <c r="U40" s="706">
        <f t="shared" si="13"/>
        <v>100</v>
      </c>
      <c r="V40" s="705" t="s">
        <v>14</v>
      </c>
      <c r="W40" s="706">
        <f t="shared" si="14"/>
        <v>100</v>
      </c>
      <c r="X40" s="3492"/>
      <c r="Y40" s="3739"/>
      <c r="Z40" s="3493" t="str">
        <f t="shared" si="15"/>
        <v>市政基础设施</v>
      </c>
      <c r="AA40" s="3491">
        <f t="shared" si="3"/>
        <v>1</v>
      </c>
      <c r="AB40" s="3491">
        <f t="shared" si="4"/>
        <v>1</v>
      </c>
      <c r="AC40" s="1961">
        <f t="shared" si="5"/>
        <v>1</v>
      </c>
    </row>
    <row r="41" spans="1:29" ht="15">
      <c r="A41" s="423"/>
      <c r="B41" s="375" t="s">
        <v>1786</v>
      </c>
      <c r="C41" s="565" t="s">
        <v>3686</v>
      </c>
      <c r="D41" s="386">
        <v>100</v>
      </c>
      <c r="E41" s="565" t="s">
        <v>3686</v>
      </c>
      <c r="F41" s="412">
        <f>SUMIF(119:119,E41,120:120)-SUMIF(119:119,C41,120:120)+100</f>
        <v>100</v>
      </c>
      <c r="G41" s="565" t="s">
        <v>3686</v>
      </c>
      <c r="H41" s="386">
        <f>SUMIF(119:119,G41,120:120)-SUMIF(119:119,C41,120:120)+100</f>
        <v>100</v>
      </c>
      <c r="I41" s="565" t="s">
        <v>3686</v>
      </c>
      <c r="J41" s="386">
        <f>SUMIF(119:119,I41,120:120)-SUMIF(119:119,C41,120:120)+100</f>
        <v>100</v>
      </c>
      <c r="K41" s="561">
        <f>'比较法-办公12号楼'!K41</f>
        <v>2</v>
      </c>
      <c r="L41" s="2720"/>
      <c r="M41" s="2714"/>
      <c r="N41" s="2714"/>
      <c r="O41" s="2714"/>
      <c r="P41" s="3737"/>
      <c r="Q41" s="3490" t="str">
        <f t="shared" si="11"/>
        <v>层高</v>
      </c>
      <c r="R41" s="705" t="s">
        <v>14</v>
      </c>
      <c r="S41" s="706">
        <f t="shared" si="12"/>
        <v>100</v>
      </c>
      <c r="T41" s="705" t="s">
        <v>14</v>
      </c>
      <c r="U41" s="706">
        <f t="shared" si="13"/>
        <v>100</v>
      </c>
      <c r="V41" s="705" t="s">
        <v>14</v>
      </c>
      <c r="W41" s="706">
        <f t="shared" si="14"/>
        <v>100</v>
      </c>
      <c r="X41" s="3492"/>
      <c r="Y41" s="3739"/>
      <c r="Z41" s="3493" t="str">
        <f t="shared" si="15"/>
        <v>层高</v>
      </c>
      <c r="AA41" s="3491">
        <f t="shared" si="3"/>
        <v>1</v>
      </c>
      <c r="AB41" s="3491">
        <f t="shared" si="4"/>
        <v>1</v>
      </c>
      <c r="AC41" s="1961">
        <f t="shared" si="5"/>
        <v>1</v>
      </c>
    </row>
    <row r="42" spans="1:29" s="422" customFormat="1" ht="15" hidden="1">
      <c r="A42" s="419"/>
      <c r="B42" s="3489"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3491">
        <f t="shared" si="3"/>
        <v>1</v>
      </c>
      <c r="AB42" s="3491">
        <f t="shared" si="4"/>
        <v>1</v>
      </c>
      <c r="AC42" s="1961">
        <f t="shared" si="5"/>
        <v>1</v>
      </c>
    </row>
    <row r="43" spans="1:29" ht="15">
      <c r="A43" s="423"/>
      <c r="B43" s="375" t="s">
        <v>1789</v>
      </c>
      <c r="C43" s="411" t="s">
        <v>3680</v>
      </c>
      <c r="D43" s="386">
        <v>100</v>
      </c>
      <c r="E43" s="411" t="s">
        <v>3699</v>
      </c>
      <c r="F43" s="412">
        <f>SUMIF(123:123,E43,124:124)-SUMIF(123:123,C43,124:124)+100</f>
        <v>97</v>
      </c>
      <c r="G43" s="411" t="s">
        <v>3699</v>
      </c>
      <c r="H43" s="386">
        <f>SUMIF(123:123,G43,124:124)-SUMIF(123:123,C43,124:124)+100</f>
        <v>97</v>
      </c>
      <c r="I43" s="411" t="s">
        <v>3699</v>
      </c>
      <c r="J43" s="386">
        <f>SUMIF(123:123,I43,124:124)-SUMIF(123:123,C43,124:124)+100</f>
        <v>97</v>
      </c>
      <c r="K43" s="561">
        <f>'比较法-办公12号楼'!K43</f>
        <v>1</v>
      </c>
      <c r="L43" s="2720"/>
      <c r="M43" s="2714"/>
      <c r="N43" s="2714"/>
      <c r="O43" s="2714"/>
      <c r="P43" s="3737"/>
      <c r="Q43" s="3490" t="str">
        <f t="shared" si="11"/>
        <v>内部装修</v>
      </c>
      <c r="R43" s="705" t="s">
        <v>14</v>
      </c>
      <c r="S43" s="706">
        <f t="shared" si="12"/>
        <v>97</v>
      </c>
      <c r="T43" s="705" t="s">
        <v>14</v>
      </c>
      <c r="U43" s="706">
        <f t="shared" si="13"/>
        <v>97</v>
      </c>
      <c r="V43" s="705" t="s">
        <v>14</v>
      </c>
      <c r="W43" s="706">
        <f t="shared" si="14"/>
        <v>97</v>
      </c>
      <c r="X43" s="3492"/>
      <c r="Y43" s="3739"/>
      <c r="Z43" s="3493" t="str">
        <f t="shared" si="15"/>
        <v>内部装修</v>
      </c>
      <c r="AA43" s="3491">
        <f t="shared" si="3"/>
        <v>1.0309278350515463</v>
      </c>
      <c r="AB43" s="3491">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f>'比较法-办公12号楼'!K44</f>
        <v>1</v>
      </c>
      <c r="L44" s="2720"/>
      <c r="M44" s="2714"/>
      <c r="N44" s="2714"/>
      <c r="O44" s="2714"/>
      <c r="P44" s="3737"/>
      <c r="Q44" s="3490" t="str">
        <f t="shared" si="11"/>
        <v>内部装修维护情况</v>
      </c>
      <c r="R44" s="705" t="s">
        <v>14</v>
      </c>
      <c r="S44" s="706">
        <f t="shared" si="12"/>
        <v>100</v>
      </c>
      <c r="T44" s="705" t="s">
        <v>14</v>
      </c>
      <c r="U44" s="706">
        <f t="shared" si="13"/>
        <v>100</v>
      </c>
      <c r="V44" s="705" t="s">
        <v>14</v>
      </c>
      <c r="W44" s="706">
        <f t="shared" si="14"/>
        <v>100</v>
      </c>
      <c r="X44" s="3492"/>
      <c r="Y44" s="3739"/>
      <c r="Z44" s="3493" t="str">
        <f t="shared" si="15"/>
        <v>内部装修维护情况</v>
      </c>
      <c r="AA44" s="3491">
        <f t="shared" si="3"/>
        <v>1</v>
      </c>
      <c r="AB44" s="3491">
        <f t="shared" si="4"/>
        <v>1</v>
      </c>
      <c r="AC44" s="1961">
        <f t="shared" si="5"/>
        <v>1</v>
      </c>
    </row>
    <row r="45" spans="1:29" s="108" customFormat="1" ht="15.75" thickBot="1">
      <c r="A45" s="424"/>
      <c r="B45" s="3508" t="s">
        <v>3691</v>
      </c>
      <c r="C45" s="420">
        <f>ROUND('数据-汇总表'!G20/'数据-汇总表'!E20,2)</f>
        <v>0.26</v>
      </c>
      <c r="D45" s="127">
        <v>100</v>
      </c>
      <c r="E45" s="383">
        <v>0</v>
      </c>
      <c r="F45" s="376">
        <f>SUMIF(127:127,E45,128:128)-SUMIF(127:127,C45,128:128)+100</f>
        <v>102</v>
      </c>
      <c r="G45" s="383">
        <v>0</v>
      </c>
      <c r="H45" s="127">
        <f>SUMIF(127:127,G45,128:128)-SUMIF(127:127,C45,128:128)+100</f>
        <v>102</v>
      </c>
      <c r="I45" s="383">
        <v>0</v>
      </c>
      <c r="J45" s="127">
        <f>SUMIF(127:127,I45,128:128)-SUMIF(127:127,C45,128:128)+100</f>
        <v>102</v>
      </c>
      <c r="K45" s="562"/>
      <c r="L45" s="2715"/>
      <c r="M45" s="2716"/>
      <c r="N45" s="2716"/>
      <c r="O45" s="2716"/>
      <c r="P45" s="3737"/>
      <c r="Q45" s="3470" t="str">
        <f t="shared" si="11"/>
        <v>地下占比</v>
      </c>
      <c r="R45" s="701" t="s">
        <v>14</v>
      </c>
      <c r="S45" s="702">
        <f t="shared" si="12"/>
        <v>102</v>
      </c>
      <c r="T45" s="701" t="s">
        <v>14</v>
      </c>
      <c r="U45" s="702">
        <f t="shared" si="13"/>
        <v>102</v>
      </c>
      <c r="V45" s="701" t="s">
        <v>14</v>
      </c>
      <c r="W45" s="702">
        <f t="shared" si="14"/>
        <v>102</v>
      </c>
      <c r="X45" s="703"/>
      <c r="Y45" s="3739"/>
      <c r="Z45" s="3468" t="str">
        <f t="shared" si="15"/>
        <v>地下占比</v>
      </c>
      <c r="AA45" s="704">
        <f t="shared" si="3"/>
        <v>0.98039215686274506</v>
      </c>
      <c r="AB45" s="704">
        <f t="shared" si="4"/>
        <v>0.98039215686274506</v>
      </c>
      <c r="AC45" s="1958">
        <f t="shared" si="5"/>
        <v>0.98039215686274506</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7"/>
      <c r="Q46" s="3490">
        <f t="shared" si="11"/>
        <v>111</v>
      </c>
      <c r="R46" s="705" t="s">
        <v>14</v>
      </c>
      <c r="S46" s="706">
        <f t="shared" si="12"/>
        <v>100</v>
      </c>
      <c r="T46" s="705" t="s">
        <v>14</v>
      </c>
      <c r="U46" s="706">
        <f t="shared" si="13"/>
        <v>100</v>
      </c>
      <c r="V46" s="705" t="s">
        <v>14</v>
      </c>
      <c r="W46" s="706">
        <f t="shared" si="14"/>
        <v>100</v>
      </c>
      <c r="X46" s="3492"/>
      <c r="Y46" s="3739"/>
      <c r="Z46" s="3493">
        <f t="shared" si="15"/>
        <v>111</v>
      </c>
      <c r="AA46" s="3491">
        <f t="shared" si="3"/>
        <v>1</v>
      </c>
      <c r="AB46" s="3491">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8"/>
      <c r="Q47" s="3490">
        <f t="shared" si="11"/>
        <v>111</v>
      </c>
      <c r="R47" s="705" t="s">
        <v>14</v>
      </c>
      <c r="S47" s="706">
        <f t="shared" si="12"/>
        <v>100</v>
      </c>
      <c r="T47" s="705" t="s">
        <v>14</v>
      </c>
      <c r="U47" s="706">
        <f t="shared" si="13"/>
        <v>100</v>
      </c>
      <c r="V47" s="705" t="s">
        <v>14</v>
      </c>
      <c r="W47" s="706">
        <f t="shared" si="14"/>
        <v>100</v>
      </c>
      <c r="X47" s="3492"/>
      <c r="Y47" s="3740"/>
      <c r="Z47" s="3493">
        <f t="shared" si="15"/>
        <v>111</v>
      </c>
      <c r="AA47" s="3491">
        <f t="shared" si="3"/>
        <v>1</v>
      </c>
      <c r="AB47" s="3491">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2"/>
      <c r="M48" s="2714"/>
      <c r="N48" s="2714"/>
      <c r="O48" s="2714"/>
      <c r="P48" s="3743" t="str">
        <f>A48</f>
        <v>成交单价（元/平方米）</v>
      </c>
      <c r="Q48" s="3732"/>
      <c r="R48" s="3733">
        <f>E48</f>
        <v>28000</v>
      </c>
      <c r="S48" s="3733"/>
      <c r="T48" s="3733">
        <f>G48</f>
        <v>31000</v>
      </c>
      <c r="U48" s="3733"/>
      <c r="V48" s="3733">
        <f>I48</f>
        <v>30935</v>
      </c>
      <c r="W48" s="3733"/>
      <c r="X48" s="397"/>
      <c r="Y48" s="712"/>
      <c r="Z48" s="397"/>
      <c r="AA48" s="397"/>
      <c r="AB48" s="397"/>
      <c r="AC48" s="578"/>
    </row>
    <row r="49" spans="1:29" ht="15.75" thickBot="1">
      <c r="A49" s="437" t="s">
        <v>1706</v>
      </c>
      <c r="B49" s="438"/>
      <c r="C49" s="1160">
        <f>R50</f>
        <v>25270</v>
      </c>
      <c r="D49" s="2316" t="s">
        <v>2135</v>
      </c>
      <c r="E49" s="1161">
        <f>R49</f>
        <v>23769</v>
      </c>
      <c r="F49" s="2317"/>
      <c r="G49" s="1160">
        <f>T49</f>
        <v>26316</v>
      </c>
      <c r="H49" s="2317"/>
      <c r="I49" s="1161">
        <f>V49</f>
        <v>25725</v>
      </c>
      <c r="J49" s="2317"/>
      <c r="K49" s="2319">
        <f>F49+H49+J49</f>
        <v>0</v>
      </c>
      <c r="L49" s="2722"/>
      <c r="M49" s="2714"/>
      <c r="N49" s="2714"/>
      <c r="O49" s="2714"/>
      <c r="P49" s="3743" t="str">
        <f>A49</f>
        <v>比较价值（元/平方米）</v>
      </c>
      <c r="Q49" s="3732"/>
      <c r="R49" s="3733">
        <f>IF(F1="售价",ROUND(PRODUCT(R48,AA7:AA47),0),ROUND(PRODUCT(R48,AA7:AA47),1))</f>
        <v>23769</v>
      </c>
      <c r="S49" s="3733"/>
      <c r="T49" s="3733">
        <f>IF(F1="售价",ROUND(PRODUCT(T48,AB7:AB47),0),ROUND(PRODUCT(T48,AB7:AB47),1))</f>
        <v>26316</v>
      </c>
      <c r="U49" s="3733"/>
      <c r="V49" s="3733">
        <f>IF(F1="售价",ROUND(PRODUCT(V48,AC7:AC47),0),ROUND(PRODUCT(V48,AC7:AC47),1))</f>
        <v>25725</v>
      </c>
      <c r="W49" s="3733"/>
      <c r="X49" s="397"/>
      <c r="Y49" s="397"/>
      <c r="Z49" s="397"/>
      <c r="AA49" s="397"/>
      <c r="AB49" s="397"/>
      <c r="AC49" s="578"/>
    </row>
    <row r="50" spans="1:29" ht="15.75" thickBot="1">
      <c r="A50" s="441" t="s">
        <v>1707</v>
      </c>
      <c r="B50" s="442"/>
      <c r="C50" s="1163">
        <f>R50</f>
        <v>25270</v>
      </c>
      <c r="D50" s="1163"/>
      <c r="E50" s="1163"/>
      <c r="F50" s="1163"/>
      <c r="G50" s="1163"/>
      <c r="H50" s="1163"/>
      <c r="I50" s="1163"/>
      <c r="J50" s="443"/>
      <c r="K50" s="715"/>
      <c r="L50" s="2722"/>
      <c r="M50" s="2714"/>
      <c r="N50" s="2714"/>
      <c r="O50" s="2714"/>
      <c r="P50" s="3775" t="str">
        <f>A50</f>
        <v>估价对象XX用房的比较价值（楼面单价，元/平方米）</v>
      </c>
      <c r="Q50" s="3776"/>
      <c r="R50" s="3777">
        <f>IF(F1="售价",ROUND(IF(D49="简单平均",AVERAGE(R49:V49),R49*F49+T49*H49+V49*J49),0),ROUND(IF(D49="简单平均",AVERAGE(R49:V49),R49*F49+T49*H49+V49*J49),1))</f>
        <v>25270</v>
      </c>
      <c r="S50" s="3777"/>
      <c r="T50" s="3777"/>
      <c r="U50" s="3777"/>
      <c r="V50" s="3777"/>
      <c r="W50" s="3777"/>
      <c r="X50" s="1945"/>
      <c r="Y50" s="1945"/>
      <c r="Z50" s="1945"/>
      <c r="AA50" s="1945"/>
      <c r="AB50" s="1945"/>
      <c r="AC50" s="1946"/>
    </row>
    <row r="51" spans="1:29">
      <c r="A51" s="2723"/>
      <c r="B51" s="2723"/>
      <c r="C51" s="2723">
        <v>7400</v>
      </c>
      <c r="D51" s="2723">
        <v>30000</v>
      </c>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v>2600</v>
      </c>
      <c r="D52" s="2723">
        <v>5000</v>
      </c>
      <c r="E52" s="2723">
        <f>(C51*D51+C52*D52)/10000</f>
        <v>23500</v>
      </c>
      <c r="F52" s="2723">
        <f>E52/28000</f>
        <v>0.8392857142857143</v>
      </c>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1708</v>
      </c>
      <c r="D53" s="447"/>
      <c r="E53" s="448">
        <f>IF(E48&lt;E49,E49/E48-1,E48/E49-1)</f>
        <v>0.17800496444949299</v>
      </c>
      <c r="F53" s="449" t="str">
        <f>IF(OR(E53&gt;=0.3,E53&lt;=-0.3),"超过30%","")</f>
        <v/>
      </c>
      <c r="G53" s="448">
        <f>IF(G48&lt;G49,G49/G48-1,G48/G49-1)</f>
        <v>0.17799057607539148</v>
      </c>
      <c r="H53" s="449" t="str">
        <f>IF(OR(G53&gt;=0.3,G53&lt;=-0.3),"超过30%","")</f>
        <v/>
      </c>
      <c r="I53" s="448">
        <f>IF(I48&lt;I49,I49/I48-1,I48/I49-1)</f>
        <v>0.20252672497570456</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1709</v>
      </c>
      <c r="D54" s="450"/>
      <c r="E54" s="448">
        <f>IF(E49&lt;G49,G49/E49-1,E49/G49-1)</f>
        <v>0.10715638015903073</v>
      </c>
      <c r="F54" s="449" t="str">
        <f>IF(OR(E54&gt;=0.2,E54&lt;=-0.2),"超过20%","")</f>
        <v/>
      </c>
      <c r="G54" s="448">
        <f>IF(G49&lt;I49,I49/G49-1,G49/I49-1)</f>
        <v>2.2973760932944565E-2</v>
      </c>
      <c r="H54" s="449" t="str">
        <f>IF(OR(G54&gt;=0.2,G54&lt;=-0.2),"超过20%","")</f>
        <v/>
      </c>
      <c r="I54" s="448">
        <f>IF(I49&lt;E49,E49/I49-1,I49/E49-1)</f>
        <v>8.2292061087971824E-2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1710</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1711</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8"/>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1678</v>
      </c>
      <c r="B62" s="459"/>
      <c r="C62" s="471" t="s">
        <v>1715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1716</v>
      </c>
      <c r="B64" s="477" t="s">
        <v>1682</v>
      </c>
      <c r="C64" s="478" t="str">
        <f>C9</f>
        <v>研发</v>
      </c>
      <c r="D64" s="3453" t="s">
        <v>3669</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f>'比较法-办公12号楼'!D65</f>
        <v>108</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1685</v>
      </c>
      <c r="C66" s="532" t="s">
        <v>3706</v>
      </c>
      <c r="D66" s="532" t="s">
        <v>3707</v>
      </c>
      <c r="E66" s="532" t="s">
        <v>3708</v>
      </c>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99.5</v>
      </c>
      <c r="E67" s="485">
        <v>99</v>
      </c>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v>4</v>
      </c>
      <c r="H69" s="498">
        <v>5</v>
      </c>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1687</v>
      </c>
      <c r="B77" s="477" t="s">
        <v>1818</v>
      </c>
      <c r="C77" s="522" t="s">
        <v>1718</v>
      </c>
      <c r="D77" s="522" t="s">
        <v>1719</v>
      </c>
      <c r="E77" s="522" t="s">
        <v>1720</v>
      </c>
      <c r="F77" s="522" t="s">
        <v>1721</v>
      </c>
      <c r="G77" s="522" t="s">
        <v>1722</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95</v>
      </c>
      <c r="E78" s="493">
        <f>D78-$K15</f>
        <v>90</v>
      </c>
      <c r="F78" s="493">
        <f>E78-$K15</f>
        <v>85</v>
      </c>
      <c r="G78" s="493">
        <f>F78-$K15</f>
        <v>80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1723</v>
      </c>
      <c r="C79" s="527" t="s">
        <v>1718</v>
      </c>
      <c r="D79" s="527" t="s">
        <v>1719</v>
      </c>
      <c r="E79" s="527" t="s">
        <v>1720</v>
      </c>
      <c r="F79" s="527" t="s">
        <v>1721</v>
      </c>
      <c r="G79" s="527" t="s">
        <v>1722</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1724</v>
      </c>
      <c r="C81" s="527" t="s">
        <v>1718</v>
      </c>
      <c r="D81" s="527" t="s">
        <v>1719</v>
      </c>
      <c r="E81" s="527" t="s">
        <v>1720</v>
      </c>
      <c r="F81" s="527" t="s">
        <v>1721</v>
      </c>
      <c r="G81" s="527" t="s">
        <v>1722</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1810</v>
      </c>
      <c r="C83" s="608" t="s">
        <v>1796</v>
      </c>
      <c r="D83" s="608" t="s">
        <v>1797</v>
      </c>
      <c r="E83" s="608" t="s">
        <v>1798</v>
      </c>
      <c r="F83" s="608" t="s">
        <v>1799</v>
      </c>
      <c r="G83" s="608" t="s">
        <v>1800</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1819</v>
      </c>
      <c r="C85" s="527" t="s">
        <v>1718</v>
      </c>
      <c r="D85" s="527" t="s">
        <v>1719</v>
      </c>
      <c r="E85" s="527" t="s">
        <v>1720</v>
      </c>
      <c r="F85" s="527" t="s">
        <v>1721</v>
      </c>
      <c r="G85" s="527" t="s">
        <v>1722</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1820</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505" t="s">
        <v>3676</v>
      </c>
      <c r="D89" s="3505" t="s">
        <v>3674</v>
      </c>
      <c r="E89" s="3505"/>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1691</v>
      </c>
      <c r="B101" s="477" t="s">
        <v>1733</v>
      </c>
      <c r="C101" s="3453" t="s">
        <v>3678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98</v>
      </c>
      <c r="F105" s="485">
        <v>98</v>
      </c>
      <c r="G105" s="485">
        <v>98</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1735</v>
      </c>
      <c r="C106" s="3505" t="s">
        <v>3679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1737</v>
      </c>
      <c r="C108" s="3505" t="s">
        <v>3681</v>
      </c>
      <c r="D108" s="3505" t="s">
        <v>3682</v>
      </c>
      <c r="E108" s="3505" t="s">
        <v>3683</v>
      </c>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1821</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1738</v>
      </c>
      <c r="C115" s="3505" t="s">
        <v>3685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1822</v>
      </c>
      <c r="C119" s="3506" t="s">
        <v>3687</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1805</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1741</v>
      </c>
      <c r="C123" s="3505" t="s">
        <v>3681</v>
      </c>
      <c r="D123" s="3505" t="s">
        <v>3682</v>
      </c>
      <c r="E123" s="3505" t="s">
        <v>3683</v>
      </c>
      <c r="F123" s="3506" t="s">
        <v>3701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v>
      </c>
      <c r="D127" s="3509">
        <v>0.26</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98</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
  <sheetViews>
    <sheetView workbookViewId="0">
      <selection activeCell="S36" sqref="S36"/>
    </sheetView>
  </sheetViews>
  <sheetFormatPr defaultRowHeight="13.5"/>
  <sheetData>
    <row r="1" spans="1:58" s="3449" customFormat="1" ht="14.25">
      <c r="A1" s="3449" t="s">
        <v>3404</v>
      </c>
      <c r="B1" s="3449" t="s">
        <v>3405</v>
      </c>
      <c r="C1" s="3449" t="s">
        <v>3406</v>
      </c>
      <c r="D1" s="3449" t="s">
        <v>3407</v>
      </c>
      <c r="E1" s="3449" t="s">
        <v>3408</v>
      </c>
      <c r="F1" s="3449" t="s">
        <v>3409</v>
      </c>
      <c r="G1" s="3449" t="s">
        <v>3410</v>
      </c>
      <c r="H1" s="3449" t="s">
        <v>3411</v>
      </c>
      <c r="I1" s="3449" t="s">
        <v>3412</v>
      </c>
      <c r="J1" s="3449" t="s">
        <v>3413</v>
      </c>
      <c r="K1" s="3449" t="s">
        <v>3414</v>
      </c>
      <c r="L1" s="3449" t="s">
        <v>3415</v>
      </c>
      <c r="M1" s="3449" t="s">
        <v>3416</v>
      </c>
      <c r="N1" s="3449" t="s">
        <v>3417</v>
      </c>
      <c r="O1" s="3449" t="s">
        <v>3418</v>
      </c>
      <c r="P1" s="3449" t="s">
        <v>3419</v>
      </c>
      <c r="Q1" s="3449" t="s">
        <v>3420</v>
      </c>
      <c r="R1" s="3449" t="s">
        <v>3421</v>
      </c>
      <c r="S1" s="3449" t="s">
        <v>3422</v>
      </c>
      <c r="T1" s="3449" t="s">
        <v>3423</v>
      </c>
      <c r="U1" s="3449" t="s">
        <v>3424</v>
      </c>
      <c r="V1" s="3449" t="s">
        <v>3425</v>
      </c>
      <c r="W1" s="3449" t="s">
        <v>3426</v>
      </c>
      <c r="X1" s="3449" t="s">
        <v>3427</v>
      </c>
      <c r="Y1" s="3449" t="s">
        <v>3428</v>
      </c>
      <c r="Z1" s="3449" t="s">
        <v>3429</v>
      </c>
      <c r="AA1" s="3449" t="s">
        <v>3430</v>
      </c>
      <c r="AB1" s="3449" t="s">
        <v>3431</v>
      </c>
      <c r="AC1" s="3449" t="s">
        <v>3432</v>
      </c>
      <c r="AD1" s="3449" t="s">
        <v>3433</v>
      </c>
      <c r="AE1" s="3449" t="s">
        <v>3434</v>
      </c>
      <c r="AF1" s="3449" t="s">
        <v>3435</v>
      </c>
      <c r="AG1" s="3449" t="s">
        <v>3436</v>
      </c>
      <c r="AH1" s="3449" t="s">
        <v>3437</v>
      </c>
      <c r="AI1" s="3449" t="s">
        <v>3438</v>
      </c>
      <c r="AJ1" s="3449" t="s">
        <v>3439</v>
      </c>
      <c r="AK1" s="3449" t="s">
        <v>3440</v>
      </c>
      <c r="AL1" s="3449" t="s">
        <v>3441</v>
      </c>
      <c r="AM1" s="3449" t="s">
        <v>3442</v>
      </c>
      <c r="AN1" s="3449" t="s">
        <v>3443</v>
      </c>
      <c r="AO1" s="3449" t="s">
        <v>3444</v>
      </c>
      <c r="AP1" s="3449" t="s">
        <v>3445</v>
      </c>
      <c r="AQ1" s="3449" t="s">
        <v>3446</v>
      </c>
      <c r="AR1" s="3449" t="s">
        <v>3447</v>
      </c>
      <c r="AS1" s="3449" t="s">
        <v>3448</v>
      </c>
      <c r="AT1" s="3449" t="s">
        <v>3449</v>
      </c>
      <c r="AU1" s="3449" t="s">
        <v>3450</v>
      </c>
      <c r="AV1" s="3449" t="s">
        <v>3451</v>
      </c>
      <c r="AW1" s="3449" t="s">
        <v>3452</v>
      </c>
      <c r="AX1" s="3449" t="s">
        <v>3453</v>
      </c>
      <c r="AY1" s="3449" t="s">
        <v>3454</v>
      </c>
      <c r="AZ1" s="3449" t="s">
        <v>3455</v>
      </c>
      <c r="BA1" s="3449" t="s">
        <v>3456</v>
      </c>
      <c r="BB1" s="3449" t="s">
        <v>3457</v>
      </c>
      <c r="BC1" s="3449" t="s">
        <v>3458</v>
      </c>
      <c r="BD1" s="3449" t="s">
        <v>3459</v>
      </c>
      <c r="BE1" s="3449" t="s">
        <v>3460</v>
      </c>
      <c r="BF1" s="3449" t="s">
        <v>3461</v>
      </c>
    </row>
    <row r="2" spans="1:58" s="3450" customFormat="1" ht="14.25">
      <c r="A2" s="3450" t="s">
        <v>3462</v>
      </c>
      <c r="B2" s="3450" t="s">
        <v>3381</v>
      </c>
      <c r="C2" s="3450" t="s">
        <v>3463</v>
      </c>
      <c r="D2" s="3450" t="s">
        <v>3464</v>
      </c>
      <c r="E2" s="3450" t="s">
        <v>3465</v>
      </c>
      <c r="F2" s="3450" t="s">
        <v>3466</v>
      </c>
      <c r="G2" s="3450" t="s">
        <v>3467</v>
      </c>
      <c r="H2" s="3450" t="s">
        <v>3468</v>
      </c>
      <c r="I2" s="3450">
        <v>19258.580000000002</v>
      </c>
      <c r="J2" s="3450">
        <v>38517.17</v>
      </c>
      <c r="K2" s="3450">
        <v>2</v>
      </c>
      <c r="L2" s="3450">
        <v>2</v>
      </c>
      <c r="M2" s="3450" t="s">
        <v>3469</v>
      </c>
      <c r="N2" s="3450" t="s">
        <v>3470</v>
      </c>
      <c r="O2" s="3450" t="s">
        <v>3471</v>
      </c>
      <c r="P2" s="3450" t="s">
        <v>3472</v>
      </c>
      <c r="Q2" s="3450" t="s">
        <v>3473</v>
      </c>
      <c r="R2" s="3450" t="s">
        <v>3474</v>
      </c>
      <c r="S2" s="3450" t="s">
        <v>3475</v>
      </c>
      <c r="T2" s="3450" t="s">
        <v>3474</v>
      </c>
      <c r="U2" s="3450" t="s">
        <v>3474</v>
      </c>
      <c r="V2" s="3450" t="s">
        <v>3474</v>
      </c>
      <c r="W2" s="3450" t="s">
        <v>3474</v>
      </c>
      <c r="X2" s="3450" t="s">
        <v>3474</v>
      </c>
      <c r="Y2" s="3450" t="s">
        <v>3474</v>
      </c>
      <c r="Z2" s="3450">
        <v>0</v>
      </c>
      <c r="AA2" s="3450">
        <v>0</v>
      </c>
      <c r="AB2" s="3451">
        <v>44546.000497685185</v>
      </c>
      <c r="AC2" s="3451">
        <v>44566.000497685185</v>
      </c>
      <c r="AD2" s="3451">
        <v>44580.000497685185</v>
      </c>
      <c r="AE2" s="3451">
        <v>44580.000497685185</v>
      </c>
      <c r="AF2" s="3450" t="s">
        <v>3476</v>
      </c>
      <c r="AG2" s="3450" t="s">
        <v>3477</v>
      </c>
      <c r="AH2" s="3450" t="s">
        <v>3478</v>
      </c>
      <c r="AI2" s="3450" t="s">
        <v>3474</v>
      </c>
      <c r="AJ2" s="3450" t="s">
        <v>3474</v>
      </c>
      <c r="AK2" s="3450">
        <v>28400</v>
      </c>
      <c r="AL2" s="3450">
        <v>5700</v>
      </c>
      <c r="AM2" s="3450" t="s">
        <v>3479</v>
      </c>
      <c r="AN2" s="3450">
        <v>28400</v>
      </c>
      <c r="AO2" s="3450">
        <v>14746.67</v>
      </c>
      <c r="AP2" s="3450">
        <v>14746.67</v>
      </c>
      <c r="AQ2" s="3450">
        <v>983.11</v>
      </c>
      <c r="AR2" s="3450">
        <v>983.11</v>
      </c>
      <c r="AS2" s="3450">
        <v>7373</v>
      </c>
      <c r="AT2" s="3450">
        <v>7373</v>
      </c>
      <c r="AU2" s="3450" t="s">
        <v>3474</v>
      </c>
      <c r="AV2" s="3450" t="s">
        <v>3474</v>
      </c>
      <c r="AW2" s="3450">
        <v>0</v>
      </c>
      <c r="AX2" s="3450" t="s">
        <v>3480</v>
      </c>
      <c r="AY2" s="3450" t="s">
        <v>3473</v>
      </c>
      <c r="AZ2" s="3450" t="s">
        <v>3474</v>
      </c>
      <c r="BA2" s="3450" t="s">
        <v>3473</v>
      </c>
      <c r="BB2" s="3450" t="s">
        <v>3474</v>
      </c>
      <c r="BC2" s="3450" t="s">
        <v>3474</v>
      </c>
      <c r="BD2" s="3450" t="s">
        <v>3474</v>
      </c>
      <c r="BE2" s="3450" t="s">
        <v>3474</v>
      </c>
      <c r="BF2" s="3450" t="s">
        <v>3481</v>
      </c>
    </row>
    <row r="3" spans="1:58" s="3450" customFormat="1" ht="14.25">
      <c r="A3" s="3450" t="s">
        <v>3482</v>
      </c>
      <c r="B3" s="3450" t="s">
        <v>3381</v>
      </c>
      <c r="C3" s="3450" t="s">
        <v>3483</v>
      </c>
      <c r="D3" s="3450" t="s">
        <v>3464</v>
      </c>
      <c r="E3" s="3450" t="s">
        <v>3465</v>
      </c>
      <c r="F3" s="3450" t="s">
        <v>3466</v>
      </c>
      <c r="G3" s="3450" t="s">
        <v>3467</v>
      </c>
      <c r="H3" s="3450" t="s">
        <v>3468</v>
      </c>
      <c r="I3" s="3450">
        <v>28547.88</v>
      </c>
      <c r="J3" s="3450">
        <v>51828.53</v>
      </c>
      <c r="K3" s="3450">
        <v>1.82</v>
      </c>
      <c r="L3" s="3450">
        <v>1.82</v>
      </c>
      <c r="M3" s="3450" t="s">
        <v>3469</v>
      </c>
      <c r="N3" s="3450" t="s">
        <v>3470</v>
      </c>
      <c r="O3" s="3450" t="s">
        <v>3471</v>
      </c>
      <c r="P3" s="3450" t="s">
        <v>3472</v>
      </c>
      <c r="Q3" s="3450" t="s">
        <v>3473</v>
      </c>
      <c r="R3" s="3450" t="s">
        <v>3474</v>
      </c>
      <c r="S3" s="3450" t="s">
        <v>3484</v>
      </c>
      <c r="T3" s="3450" t="s">
        <v>3474</v>
      </c>
      <c r="U3" s="3450" t="s">
        <v>3474</v>
      </c>
      <c r="V3" s="3450" t="s">
        <v>3474</v>
      </c>
      <c r="W3" s="3450" t="s">
        <v>3474</v>
      </c>
      <c r="X3" s="3450" t="s">
        <v>3474</v>
      </c>
      <c r="Y3" s="3450" t="s">
        <v>3474</v>
      </c>
      <c r="Z3" s="3450">
        <v>0</v>
      </c>
      <c r="AA3" s="3450">
        <v>0</v>
      </c>
      <c r="AB3" s="3451">
        <v>44546.000497685185</v>
      </c>
      <c r="AC3" s="3451">
        <v>44566.000497685185</v>
      </c>
      <c r="AD3" s="3451">
        <v>44580.000497685185</v>
      </c>
      <c r="AE3" s="3451">
        <v>44580.000497685185</v>
      </c>
      <c r="AF3" s="3450" t="s">
        <v>3485</v>
      </c>
      <c r="AG3" s="3450" t="s">
        <v>3477</v>
      </c>
      <c r="AH3" s="3450" t="s">
        <v>3486</v>
      </c>
      <c r="AI3" s="3450" t="s">
        <v>3487</v>
      </c>
      <c r="AJ3" s="3450" t="s">
        <v>3488</v>
      </c>
      <c r="AK3" s="3450">
        <v>37700</v>
      </c>
      <c r="AL3" s="3450">
        <v>7600</v>
      </c>
      <c r="AM3" s="3450" t="s">
        <v>3479</v>
      </c>
      <c r="AN3" s="3450">
        <v>37700</v>
      </c>
      <c r="AO3" s="3450">
        <v>13205.88</v>
      </c>
      <c r="AP3" s="3450">
        <v>13205.88</v>
      </c>
      <c r="AQ3" s="3450">
        <v>880.39</v>
      </c>
      <c r="AR3" s="3450">
        <v>880.39</v>
      </c>
      <c r="AS3" s="3450">
        <v>7274</v>
      </c>
      <c r="AT3" s="3450">
        <v>7274</v>
      </c>
      <c r="AU3" s="3450" t="s">
        <v>3474</v>
      </c>
      <c r="AV3" s="3450" t="s">
        <v>3474</v>
      </c>
      <c r="AW3" s="3450">
        <v>0</v>
      </c>
      <c r="AX3" s="3450" t="s">
        <v>3480</v>
      </c>
      <c r="AY3" s="3450" t="s">
        <v>3473</v>
      </c>
      <c r="AZ3" s="3450" t="s">
        <v>3474</v>
      </c>
      <c r="BA3" s="3450" t="s">
        <v>3473</v>
      </c>
      <c r="BB3" s="3450" t="s">
        <v>3474</v>
      </c>
      <c r="BC3" s="3450" t="s">
        <v>3474</v>
      </c>
      <c r="BD3" s="3450" t="s">
        <v>3474</v>
      </c>
      <c r="BE3" s="3450" t="s">
        <v>3474</v>
      </c>
      <c r="BF3" s="3450" t="s">
        <v>3481</v>
      </c>
    </row>
    <row r="4" spans="1:58" s="3449" customFormat="1" ht="14.25">
      <c r="A4" s="3449" t="s">
        <v>3489</v>
      </c>
      <c r="B4" s="3449" t="s">
        <v>3381</v>
      </c>
      <c r="C4" s="3449" t="s">
        <v>3490</v>
      </c>
      <c r="D4" s="3449" t="s">
        <v>3464</v>
      </c>
      <c r="E4" s="3449" t="s">
        <v>3465</v>
      </c>
      <c r="F4" s="3449" t="s">
        <v>3466</v>
      </c>
      <c r="G4" s="3449" t="s">
        <v>3491</v>
      </c>
      <c r="H4" s="3449" t="s">
        <v>3468</v>
      </c>
      <c r="I4" s="3449">
        <v>1676.22</v>
      </c>
      <c r="J4" s="3449">
        <v>753.4</v>
      </c>
      <c r="K4" s="3449" t="s">
        <v>3492</v>
      </c>
      <c r="L4" s="3449">
        <v>0.45</v>
      </c>
      <c r="M4" s="3449" t="s">
        <v>3469</v>
      </c>
      <c r="N4" s="3449" t="s">
        <v>3493</v>
      </c>
      <c r="O4" s="3449" t="s">
        <v>3494</v>
      </c>
      <c r="P4" s="3449" t="s">
        <v>3472</v>
      </c>
      <c r="Q4" s="3449" t="s">
        <v>3473</v>
      </c>
      <c r="R4" s="3449" t="s">
        <v>3474</v>
      </c>
      <c r="S4" s="3449" t="s">
        <v>3495</v>
      </c>
      <c r="T4" s="3449" t="s">
        <v>3474</v>
      </c>
      <c r="U4" s="3449" t="s">
        <v>3474</v>
      </c>
      <c r="V4" s="3449" t="s">
        <v>3474</v>
      </c>
      <c r="W4" s="3449" t="s">
        <v>3474</v>
      </c>
      <c r="X4" s="3449">
        <v>0</v>
      </c>
      <c r="Y4" s="3449">
        <v>0</v>
      </c>
      <c r="Z4" s="3449">
        <v>0</v>
      </c>
      <c r="AA4" s="3449">
        <v>0</v>
      </c>
      <c r="AB4" s="3452">
        <v>44190.000497685185</v>
      </c>
      <c r="AC4" s="3452">
        <v>44210.000497685185</v>
      </c>
      <c r="AD4" s="3452">
        <v>44224.000497685185</v>
      </c>
      <c r="AE4" s="3452">
        <v>44224.000497685185</v>
      </c>
      <c r="AF4" s="3449" t="s">
        <v>3496</v>
      </c>
      <c r="AG4" s="3449" t="s">
        <v>3477</v>
      </c>
      <c r="AH4" s="3449" t="s">
        <v>3497</v>
      </c>
      <c r="AI4" s="3449" t="s">
        <v>3474</v>
      </c>
      <c r="AJ4" s="3449" t="s">
        <v>3474</v>
      </c>
      <c r="AK4" s="3449">
        <v>550</v>
      </c>
      <c r="AL4" s="3449">
        <v>150</v>
      </c>
      <c r="AM4" s="3449" t="s">
        <v>3498</v>
      </c>
      <c r="AN4" s="3449">
        <v>550</v>
      </c>
      <c r="AO4" s="3449">
        <v>3281.19</v>
      </c>
      <c r="AP4" s="3449">
        <v>3281.19</v>
      </c>
      <c r="AQ4" s="3449">
        <v>218.75</v>
      </c>
      <c r="AR4" s="3449">
        <v>218.75</v>
      </c>
      <c r="AS4" s="3449">
        <v>7300</v>
      </c>
      <c r="AT4" s="3449">
        <v>7300</v>
      </c>
      <c r="AU4" s="3449" t="s">
        <v>3474</v>
      </c>
      <c r="AV4" s="3449" t="s">
        <v>3474</v>
      </c>
      <c r="AW4" s="3449">
        <v>0</v>
      </c>
      <c r="AX4" s="3449" t="s">
        <v>3480</v>
      </c>
      <c r="AY4" s="3449" t="s">
        <v>3473</v>
      </c>
      <c r="AZ4" s="3449" t="s">
        <v>3474</v>
      </c>
      <c r="BA4" s="3449" t="s">
        <v>3473</v>
      </c>
      <c r="BB4" s="3449" t="s">
        <v>3474</v>
      </c>
      <c r="BC4" s="3449" t="s">
        <v>3474</v>
      </c>
      <c r="BD4" s="3449" t="s">
        <v>3474</v>
      </c>
      <c r="BE4" s="3449" t="s">
        <v>3474</v>
      </c>
      <c r="BF4" s="3449" t="s">
        <v>3499</v>
      </c>
    </row>
    <row r="5" spans="1:58" s="3450" customFormat="1" ht="14.25">
      <c r="A5" s="3450" t="s">
        <v>3500</v>
      </c>
      <c r="B5" s="3450" t="s">
        <v>3381</v>
      </c>
      <c r="C5" s="3450" t="s">
        <v>3501</v>
      </c>
      <c r="D5" s="3450" t="s">
        <v>3464</v>
      </c>
      <c r="E5" s="3450" t="s">
        <v>3465</v>
      </c>
      <c r="F5" s="3450" t="s">
        <v>3466</v>
      </c>
      <c r="G5" s="3450" t="s">
        <v>3502</v>
      </c>
      <c r="H5" s="3450" t="s">
        <v>3468</v>
      </c>
      <c r="I5" s="3450">
        <v>63225.37</v>
      </c>
      <c r="J5" s="3450">
        <v>120200</v>
      </c>
      <c r="K5" s="3450" t="s">
        <v>3503</v>
      </c>
      <c r="L5" s="3450">
        <v>1.9</v>
      </c>
      <c r="M5" s="3450" t="s">
        <v>3469</v>
      </c>
      <c r="N5" s="3450" t="s">
        <v>3470</v>
      </c>
      <c r="O5" s="3450" t="s">
        <v>3471</v>
      </c>
      <c r="P5" s="3450" t="s">
        <v>3472</v>
      </c>
      <c r="Q5" s="3450" t="s">
        <v>3473</v>
      </c>
      <c r="R5" s="3450" t="s">
        <v>3474</v>
      </c>
      <c r="S5" s="3450" t="s">
        <v>3474</v>
      </c>
      <c r="T5" s="3450" t="s">
        <v>3474</v>
      </c>
      <c r="U5" s="3450" t="s">
        <v>3474</v>
      </c>
      <c r="V5" s="3450" t="s">
        <v>3474</v>
      </c>
      <c r="W5" s="3450" t="s">
        <v>3474</v>
      </c>
      <c r="X5" s="3450">
        <v>0</v>
      </c>
      <c r="Y5" s="3450">
        <v>0</v>
      </c>
      <c r="Z5" s="3450">
        <v>0</v>
      </c>
      <c r="AA5" s="3450">
        <v>0</v>
      </c>
      <c r="AB5" s="3451">
        <v>44104.000497685185</v>
      </c>
      <c r="AC5" s="3451">
        <v>44124.000497685185</v>
      </c>
      <c r="AD5" s="3451">
        <v>44138.000497685185</v>
      </c>
      <c r="AE5" s="3451">
        <v>44138.000497685185</v>
      </c>
      <c r="AF5" s="3450" t="s">
        <v>3504</v>
      </c>
      <c r="AG5" s="3450" t="s">
        <v>3477</v>
      </c>
      <c r="AH5" s="3450" t="s">
        <v>3505</v>
      </c>
      <c r="AI5" s="3450" t="s">
        <v>3487</v>
      </c>
      <c r="AJ5" s="3450" t="s">
        <v>3488</v>
      </c>
      <c r="AK5" s="3450">
        <v>88100</v>
      </c>
      <c r="AL5" s="3450">
        <v>17700</v>
      </c>
      <c r="AM5" s="3450" t="s">
        <v>3506</v>
      </c>
      <c r="AN5" s="3450">
        <v>88100</v>
      </c>
      <c r="AO5" s="3450">
        <v>13934.28</v>
      </c>
      <c r="AP5" s="3450">
        <v>13934.28</v>
      </c>
      <c r="AQ5" s="3450">
        <v>928.95</v>
      </c>
      <c r="AR5" s="3450">
        <v>928.95</v>
      </c>
      <c r="AS5" s="3450">
        <v>7329</v>
      </c>
      <c r="AT5" s="3450">
        <v>7329</v>
      </c>
      <c r="AU5" s="3450" t="s">
        <v>3474</v>
      </c>
      <c r="AV5" s="3450" t="s">
        <v>3474</v>
      </c>
      <c r="AW5" s="3450">
        <v>0</v>
      </c>
      <c r="AX5" s="3450" t="s">
        <v>3480</v>
      </c>
      <c r="AY5" s="3450" t="s">
        <v>3473</v>
      </c>
      <c r="AZ5" s="3450" t="s">
        <v>3474</v>
      </c>
      <c r="BA5" s="3450" t="s">
        <v>3473</v>
      </c>
      <c r="BB5" s="3450" t="s">
        <v>3474</v>
      </c>
      <c r="BC5" s="3450" t="s">
        <v>3474</v>
      </c>
      <c r="BD5" s="3450" t="s">
        <v>3474</v>
      </c>
      <c r="BE5" s="3450" t="s">
        <v>3474</v>
      </c>
      <c r="BF5" s="3450" t="s">
        <v>3499</v>
      </c>
    </row>
    <row r="6" spans="1:58" s="3449" customFormat="1" ht="14.25">
      <c r="A6" s="3449" t="s">
        <v>3507</v>
      </c>
      <c r="B6" s="3449" t="s">
        <v>3381</v>
      </c>
      <c r="C6" s="3449" t="s">
        <v>3508</v>
      </c>
      <c r="D6" s="3449" t="s">
        <v>3464</v>
      </c>
      <c r="E6" s="3449" t="s">
        <v>3465</v>
      </c>
      <c r="F6" s="3449" t="s">
        <v>3509</v>
      </c>
      <c r="G6" s="3449" t="s">
        <v>3491</v>
      </c>
      <c r="H6" s="3449" t="s">
        <v>3468</v>
      </c>
      <c r="I6" s="3449">
        <v>5352.65</v>
      </c>
      <c r="J6" s="3449">
        <v>843</v>
      </c>
      <c r="K6" s="3449" t="s">
        <v>3510</v>
      </c>
      <c r="L6" s="3449">
        <v>0.16</v>
      </c>
      <c r="M6" s="3449" t="s">
        <v>3469</v>
      </c>
      <c r="N6" s="3449" t="s">
        <v>3493</v>
      </c>
      <c r="O6" s="3449" t="s">
        <v>3494</v>
      </c>
      <c r="P6" s="3449" t="s">
        <v>3472</v>
      </c>
      <c r="Q6" s="3449" t="s">
        <v>3473</v>
      </c>
      <c r="R6" s="3449" t="s">
        <v>3474</v>
      </c>
      <c r="S6" s="3449" t="s">
        <v>3511</v>
      </c>
      <c r="T6" s="3449" t="s">
        <v>3474</v>
      </c>
      <c r="U6" s="3449" t="s">
        <v>3474</v>
      </c>
      <c r="V6" s="3449" t="s">
        <v>3474</v>
      </c>
      <c r="W6" s="3449" t="s">
        <v>3474</v>
      </c>
      <c r="X6" s="3449">
        <v>0</v>
      </c>
      <c r="Y6" s="3449">
        <v>0</v>
      </c>
      <c r="Z6" s="3449">
        <v>0</v>
      </c>
      <c r="AA6" s="3449">
        <v>0</v>
      </c>
      <c r="AB6" s="3452">
        <v>44076.000497685185</v>
      </c>
      <c r="AC6" s="3452">
        <v>44096.000497685185</v>
      </c>
      <c r="AD6" s="3452">
        <v>44116.000497685185</v>
      </c>
      <c r="AE6" s="3452">
        <v>44116.000497685185</v>
      </c>
      <c r="AF6" s="3449" t="s">
        <v>3512</v>
      </c>
      <c r="AG6" s="3449" t="s">
        <v>3477</v>
      </c>
      <c r="AH6" s="3449" t="s">
        <v>3497</v>
      </c>
      <c r="AI6" s="3449" t="s">
        <v>3474</v>
      </c>
      <c r="AJ6" s="3449" t="s">
        <v>3474</v>
      </c>
      <c r="AK6" s="3449">
        <v>1310</v>
      </c>
      <c r="AL6" s="3449">
        <v>300</v>
      </c>
      <c r="AM6" s="3449" t="s">
        <v>3513</v>
      </c>
      <c r="AN6" s="3449">
        <v>1310</v>
      </c>
      <c r="AO6" s="3449">
        <v>2447.38</v>
      </c>
      <c r="AP6" s="3449">
        <v>2447.38</v>
      </c>
      <c r="AQ6" s="3449">
        <v>163.16</v>
      </c>
      <c r="AR6" s="3449">
        <v>163.16</v>
      </c>
      <c r="AS6" s="3449">
        <v>15540</v>
      </c>
      <c r="AT6" s="3449">
        <v>15540</v>
      </c>
      <c r="AU6" s="3449" t="s">
        <v>3474</v>
      </c>
      <c r="AV6" s="3449" t="s">
        <v>3474</v>
      </c>
      <c r="AW6" s="3449">
        <v>0</v>
      </c>
      <c r="AX6" s="3449" t="s">
        <v>3480</v>
      </c>
      <c r="AY6" s="3449" t="s">
        <v>3473</v>
      </c>
      <c r="AZ6" s="3449" t="s">
        <v>3474</v>
      </c>
      <c r="BA6" s="3449" t="s">
        <v>3473</v>
      </c>
      <c r="BB6" s="3449" t="s">
        <v>3474</v>
      </c>
      <c r="BC6" s="3449" t="s">
        <v>3474</v>
      </c>
      <c r="BD6" s="3449" t="s">
        <v>3474</v>
      </c>
      <c r="BE6" s="3449" t="s">
        <v>3474</v>
      </c>
      <c r="BF6" s="3449" t="s">
        <v>3499</v>
      </c>
    </row>
    <row r="7" spans="1:58" s="3449" customFormat="1" ht="14.25">
      <c r="A7" s="3449" t="s">
        <v>3514</v>
      </c>
      <c r="B7" s="3449" t="s">
        <v>3381</v>
      </c>
      <c r="C7" s="3449" t="s">
        <v>3515</v>
      </c>
      <c r="D7" s="3449" t="s">
        <v>3464</v>
      </c>
      <c r="E7" s="3449" t="s">
        <v>3465</v>
      </c>
      <c r="F7" s="3449" t="s">
        <v>3509</v>
      </c>
      <c r="G7" s="3449" t="s">
        <v>3491</v>
      </c>
      <c r="H7" s="3449" t="s">
        <v>3468</v>
      </c>
      <c r="I7" s="3449">
        <v>36823.82</v>
      </c>
      <c r="J7" s="3449">
        <v>25187</v>
      </c>
      <c r="K7" s="3449" t="s">
        <v>3516</v>
      </c>
      <c r="L7" s="3449">
        <v>0.68</v>
      </c>
      <c r="M7" s="3449" t="s">
        <v>3469</v>
      </c>
      <c r="N7" s="3449" t="s">
        <v>3470</v>
      </c>
      <c r="O7" s="3449" t="s">
        <v>3471</v>
      </c>
      <c r="P7" s="3449" t="s">
        <v>3472</v>
      </c>
      <c r="Q7" s="3449" t="s">
        <v>3473</v>
      </c>
      <c r="R7" s="3449" t="s">
        <v>3474</v>
      </c>
      <c r="S7" s="3449" t="s">
        <v>3517</v>
      </c>
      <c r="T7" s="3449" t="s">
        <v>3474</v>
      </c>
      <c r="U7" s="3449" t="s">
        <v>3474</v>
      </c>
      <c r="V7" s="3449" t="s">
        <v>3474</v>
      </c>
      <c r="W7" s="3449" t="s">
        <v>3474</v>
      </c>
      <c r="X7" s="3449">
        <v>0</v>
      </c>
      <c r="Y7" s="3449">
        <v>0</v>
      </c>
      <c r="Z7" s="3449">
        <v>0</v>
      </c>
      <c r="AA7" s="3449">
        <v>0</v>
      </c>
      <c r="AB7" s="3452">
        <v>44076.000497685185</v>
      </c>
      <c r="AC7" s="3452">
        <v>44096.000497685185</v>
      </c>
      <c r="AD7" s="3452">
        <v>44116.000497685185</v>
      </c>
      <c r="AE7" s="3452">
        <v>44116.000497685185</v>
      </c>
      <c r="AF7" s="3449" t="s">
        <v>3518</v>
      </c>
      <c r="AG7" s="3449" t="s">
        <v>3477</v>
      </c>
      <c r="AH7" s="3449" t="s">
        <v>3519</v>
      </c>
      <c r="AI7" s="3449" t="s">
        <v>3520</v>
      </c>
      <c r="AJ7" s="3449" t="s">
        <v>3488</v>
      </c>
      <c r="AK7" s="3449">
        <v>29500</v>
      </c>
      <c r="AL7" s="3449">
        <v>6000</v>
      </c>
      <c r="AM7" s="3449" t="s">
        <v>3513</v>
      </c>
      <c r="AN7" s="3449">
        <v>29500</v>
      </c>
      <c r="AO7" s="3449">
        <v>8011.11</v>
      </c>
      <c r="AP7" s="3449">
        <v>8011.11</v>
      </c>
      <c r="AQ7" s="3449">
        <v>534.07000000000005</v>
      </c>
      <c r="AR7" s="3449">
        <v>534.07000000000005</v>
      </c>
      <c r="AS7" s="3449">
        <v>11712</v>
      </c>
      <c r="AT7" s="3449">
        <v>11712</v>
      </c>
      <c r="AU7" s="3449" t="s">
        <v>3474</v>
      </c>
      <c r="AV7" s="3449" t="s">
        <v>3474</v>
      </c>
      <c r="AW7" s="3449">
        <v>0</v>
      </c>
      <c r="AX7" s="3449" t="s">
        <v>3480</v>
      </c>
      <c r="AY7" s="3449" t="s">
        <v>3473</v>
      </c>
      <c r="AZ7" s="3449" t="s">
        <v>3474</v>
      </c>
      <c r="BA7" s="3449" t="s">
        <v>3473</v>
      </c>
      <c r="BB7" s="3449" t="s">
        <v>3474</v>
      </c>
      <c r="BC7" s="3449" t="s">
        <v>3474</v>
      </c>
      <c r="BD7" s="3449" t="s">
        <v>3474</v>
      </c>
      <c r="BE7" s="3449" t="s">
        <v>3474</v>
      </c>
      <c r="BF7" s="3449" t="s">
        <v>3499</v>
      </c>
    </row>
    <row r="8" spans="1:58" s="3449" customFormat="1" ht="14.25">
      <c r="A8" s="3449" t="s">
        <v>3521</v>
      </c>
      <c r="B8" s="3449" t="s">
        <v>3381</v>
      </c>
      <c r="C8" s="3449" t="s">
        <v>3522</v>
      </c>
      <c r="D8" s="3449" t="s">
        <v>3464</v>
      </c>
      <c r="E8" s="3449" t="s">
        <v>3465</v>
      </c>
      <c r="F8" s="3449" t="s">
        <v>3466</v>
      </c>
      <c r="G8" s="3449" t="s">
        <v>3523</v>
      </c>
      <c r="H8" s="3449" t="s">
        <v>3468</v>
      </c>
      <c r="I8" s="3449">
        <v>44700.95</v>
      </c>
      <c r="J8" s="3449">
        <v>80462</v>
      </c>
      <c r="K8" s="3449">
        <v>1.8</v>
      </c>
      <c r="L8" s="3449">
        <v>1.8</v>
      </c>
      <c r="M8" s="3449" t="s">
        <v>3469</v>
      </c>
      <c r="N8" s="3449" t="s">
        <v>3470</v>
      </c>
      <c r="O8" s="3449" t="s">
        <v>3471</v>
      </c>
      <c r="P8" s="3449" t="s">
        <v>3472</v>
      </c>
      <c r="Q8" s="3449" t="s">
        <v>3473</v>
      </c>
      <c r="R8" s="3449" t="s">
        <v>3474</v>
      </c>
      <c r="S8" s="3449" t="s">
        <v>3474</v>
      </c>
      <c r="T8" s="3449" t="s">
        <v>3474</v>
      </c>
      <c r="U8" s="3449" t="s">
        <v>3474</v>
      </c>
      <c r="V8" s="3449" t="s">
        <v>3474</v>
      </c>
      <c r="W8" s="3449" t="s">
        <v>3474</v>
      </c>
      <c r="X8" s="3449">
        <v>0</v>
      </c>
      <c r="Y8" s="3449">
        <v>0</v>
      </c>
      <c r="Z8" s="3449">
        <v>0</v>
      </c>
      <c r="AA8" s="3449">
        <v>0</v>
      </c>
      <c r="AB8" s="3452">
        <v>42319.000497685185</v>
      </c>
      <c r="AC8" s="3452">
        <v>42339.000497685185</v>
      </c>
      <c r="AD8" s="3452">
        <v>42353.000497685185</v>
      </c>
      <c r="AE8" s="3452">
        <v>42353.000497685185</v>
      </c>
      <c r="AF8" s="3449" t="s">
        <v>3524</v>
      </c>
      <c r="AG8" s="3449" t="s">
        <v>3477</v>
      </c>
      <c r="AH8" s="3449" t="s">
        <v>3525</v>
      </c>
      <c r="AI8" s="3449" t="s">
        <v>3474</v>
      </c>
      <c r="AJ8" s="3449" t="s">
        <v>3474</v>
      </c>
      <c r="AK8" s="3449">
        <v>22400</v>
      </c>
      <c r="AL8" s="3449">
        <v>6800</v>
      </c>
      <c r="AM8" s="3449" t="s">
        <v>633</v>
      </c>
      <c r="AN8" s="3449">
        <v>22400</v>
      </c>
      <c r="AO8" s="3449">
        <v>5011.07</v>
      </c>
      <c r="AP8" s="3449">
        <v>5011.07</v>
      </c>
      <c r="AQ8" s="3449">
        <v>334.07</v>
      </c>
      <c r="AR8" s="3449">
        <v>334.07</v>
      </c>
      <c r="AS8" s="3449">
        <v>2784</v>
      </c>
      <c r="AT8" s="3449">
        <v>2784</v>
      </c>
      <c r="AU8" s="3449" t="s">
        <v>3474</v>
      </c>
      <c r="AV8" s="3449" t="s">
        <v>3474</v>
      </c>
      <c r="AW8" s="3449">
        <v>0</v>
      </c>
      <c r="AX8" s="3449" t="s">
        <v>3480</v>
      </c>
      <c r="AY8" s="3449" t="s">
        <v>3473</v>
      </c>
      <c r="AZ8" s="3449" t="s">
        <v>3474</v>
      </c>
      <c r="BA8" s="3449" t="s">
        <v>3473</v>
      </c>
      <c r="BB8" s="3449" t="s">
        <v>3474</v>
      </c>
      <c r="BC8" s="3449" t="s">
        <v>3474</v>
      </c>
      <c r="BD8" s="3449" t="s">
        <v>3474</v>
      </c>
      <c r="BE8" s="3449" t="s">
        <v>3474</v>
      </c>
      <c r="BF8" s="3449" t="s">
        <v>3499</v>
      </c>
    </row>
    <row r="9" spans="1:58" s="3449" customFormat="1" ht="14.25">
      <c r="A9" s="3449" t="s">
        <v>3526</v>
      </c>
      <c r="B9" s="3449" t="s">
        <v>3381</v>
      </c>
      <c r="C9" s="3449" t="s">
        <v>3527</v>
      </c>
      <c r="D9" s="3449" t="s">
        <v>3464</v>
      </c>
      <c r="E9" s="3449" t="s">
        <v>3465</v>
      </c>
      <c r="F9" s="3449" t="s">
        <v>3528</v>
      </c>
      <c r="G9" s="3449" t="s">
        <v>3523</v>
      </c>
      <c r="H9" s="3449" t="s">
        <v>3468</v>
      </c>
      <c r="I9" s="3449">
        <v>44700.95</v>
      </c>
      <c r="J9" s="3449">
        <v>80462</v>
      </c>
      <c r="K9" s="3449" t="s">
        <v>3529</v>
      </c>
      <c r="L9" s="3449">
        <v>1.8</v>
      </c>
      <c r="M9" s="3449" t="s">
        <v>3469</v>
      </c>
      <c r="N9" s="3449" t="s">
        <v>3470</v>
      </c>
      <c r="O9" s="3449" t="s">
        <v>3471</v>
      </c>
      <c r="P9" s="3449" t="s">
        <v>3472</v>
      </c>
      <c r="Q9" s="3449" t="s">
        <v>3473</v>
      </c>
      <c r="R9" s="3449" t="s">
        <v>3474</v>
      </c>
      <c r="S9" s="3449" t="s">
        <v>3474</v>
      </c>
      <c r="T9" s="3449" t="s">
        <v>3474</v>
      </c>
      <c r="U9" s="3449" t="s">
        <v>3474</v>
      </c>
      <c r="V9" s="3449" t="s">
        <v>3474</v>
      </c>
      <c r="W9" s="3449" t="s">
        <v>3474</v>
      </c>
      <c r="X9" s="3449">
        <v>0</v>
      </c>
      <c r="Y9" s="3449">
        <v>0</v>
      </c>
      <c r="Z9" s="3449">
        <v>0</v>
      </c>
      <c r="AA9" s="3449">
        <v>0</v>
      </c>
      <c r="AB9" s="3452">
        <v>42319.000497685185</v>
      </c>
      <c r="AC9" s="3452">
        <v>42339.000497685185</v>
      </c>
      <c r="AD9" s="3452">
        <v>42353.000497685185</v>
      </c>
      <c r="AE9" s="3452">
        <v>42353.000497685185</v>
      </c>
      <c r="AF9" s="3449" t="s">
        <v>3530</v>
      </c>
      <c r="AG9" s="3449" t="s">
        <v>3477</v>
      </c>
      <c r="AH9" s="3449" t="s">
        <v>3525</v>
      </c>
      <c r="AI9" s="3449" t="s">
        <v>3474</v>
      </c>
      <c r="AJ9" s="3449" t="s">
        <v>3474</v>
      </c>
      <c r="AK9" s="3449">
        <v>22400</v>
      </c>
      <c r="AL9" s="3449">
        <v>6800</v>
      </c>
      <c r="AM9" s="3449" t="s">
        <v>3531</v>
      </c>
      <c r="AN9" s="3449">
        <v>22400</v>
      </c>
      <c r="AO9" s="3449">
        <v>5011.07</v>
      </c>
      <c r="AP9" s="3449">
        <v>5011.07</v>
      </c>
      <c r="AQ9" s="3449">
        <v>334.07</v>
      </c>
      <c r="AR9" s="3449">
        <v>334.07</v>
      </c>
      <c r="AS9" s="3449">
        <v>2784</v>
      </c>
      <c r="AT9" s="3449">
        <v>2784</v>
      </c>
      <c r="AU9" s="3449" t="s">
        <v>3474</v>
      </c>
      <c r="AV9" s="3449" t="s">
        <v>3474</v>
      </c>
      <c r="AW9" s="3449">
        <v>0</v>
      </c>
      <c r="AX9" s="3449" t="s">
        <v>3480</v>
      </c>
      <c r="AY9" s="3449" t="s">
        <v>3473</v>
      </c>
      <c r="AZ9" s="3449" t="s">
        <v>3474</v>
      </c>
      <c r="BA9" s="3449" t="s">
        <v>3473</v>
      </c>
      <c r="BB9" s="3449" t="s">
        <v>3474</v>
      </c>
      <c r="BC9" s="3449" t="s">
        <v>3474</v>
      </c>
      <c r="BD9" s="3449" t="s">
        <v>3474</v>
      </c>
      <c r="BE9" s="3449" t="s">
        <v>3474</v>
      </c>
      <c r="BF9" s="3449" t="s">
        <v>3499</v>
      </c>
    </row>
    <row r="10" spans="1:58" s="3449" customFormat="1" ht="14.25">
      <c r="A10" s="3449" t="s">
        <v>3532</v>
      </c>
      <c r="B10" s="3449" t="s">
        <v>3381</v>
      </c>
      <c r="C10" s="3449" t="s">
        <v>3533</v>
      </c>
      <c r="D10" s="3449" t="s">
        <v>3464</v>
      </c>
      <c r="E10" s="3449" t="s">
        <v>3465</v>
      </c>
      <c r="F10" s="3449" t="s">
        <v>3466</v>
      </c>
      <c r="G10" s="3449" t="s">
        <v>3534</v>
      </c>
      <c r="H10" s="3449" t="s">
        <v>3468</v>
      </c>
      <c r="I10" s="3449">
        <v>12853.55</v>
      </c>
      <c r="J10" s="3449">
        <v>77121</v>
      </c>
      <c r="K10" s="3449">
        <v>6</v>
      </c>
      <c r="L10" s="3449">
        <v>6</v>
      </c>
      <c r="M10" s="3449" t="s">
        <v>3469</v>
      </c>
      <c r="N10" s="3449" t="s">
        <v>3535</v>
      </c>
      <c r="O10" s="3449" t="s">
        <v>3536</v>
      </c>
      <c r="P10" s="3449" t="s">
        <v>3472</v>
      </c>
      <c r="Q10" s="3449" t="s">
        <v>3473</v>
      </c>
      <c r="R10" s="3449" t="s">
        <v>3474</v>
      </c>
      <c r="S10" s="3449" t="s">
        <v>3474</v>
      </c>
      <c r="T10" s="3449" t="s">
        <v>3474</v>
      </c>
      <c r="U10" s="3449" t="s">
        <v>3474</v>
      </c>
      <c r="V10" s="3449" t="s">
        <v>3474</v>
      </c>
      <c r="W10" s="3449" t="s">
        <v>3474</v>
      </c>
      <c r="X10" s="3449">
        <v>0</v>
      </c>
      <c r="Y10" s="3449">
        <v>0</v>
      </c>
      <c r="Z10" s="3449">
        <v>0</v>
      </c>
      <c r="AA10" s="3449">
        <v>0</v>
      </c>
      <c r="AB10" s="3452">
        <v>41900.000497685185</v>
      </c>
      <c r="AC10" s="3452">
        <v>41920.000497685185</v>
      </c>
      <c r="AD10" s="3452">
        <v>41933.000497685185</v>
      </c>
      <c r="AE10" s="3452">
        <v>41933.000497685185</v>
      </c>
      <c r="AF10" s="3449" t="s">
        <v>3537</v>
      </c>
      <c r="AG10" s="3449" t="s">
        <v>3477</v>
      </c>
      <c r="AH10" s="3449" t="s">
        <v>3538</v>
      </c>
      <c r="AI10" s="3449" t="s">
        <v>3474</v>
      </c>
      <c r="AJ10" s="3449" t="s">
        <v>3474</v>
      </c>
      <c r="AK10" s="3449">
        <v>43000</v>
      </c>
      <c r="AL10" s="3449">
        <v>13000</v>
      </c>
      <c r="AM10" s="3449" t="s">
        <v>633</v>
      </c>
      <c r="AN10" s="3449">
        <v>52200</v>
      </c>
      <c r="AO10" s="3449">
        <v>33453.79</v>
      </c>
      <c r="AP10" s="3449">
        <v>40611.339999999997</v>
      </c>
      <c r="AQ10" s="3449">
        <v>2230.25</v>
      </c>
      <c r="AR10" s="3449">
        <v>2707.42</v>
      </c>
      <c r="AS10" s="3449">
        <v>5576</v>
      </c>
      <c r="AT10" s="3449">
        <v>6769</v>
      </c>
      <c r="AU10" s="3449" t="s">
        <v>3474</v>
      </c>
      <c r="AV10" s="3449" t="s">
        <v>3474</v>
      </c>
      <c r="AW10" s="3449">
        <v>21.4</v>
      </c>
      <c r="AX10" s="3449" t="s">
        <v>3539</v>
      </c>
      <c r="AY10" s="3449" t="s">
        <v>3473</v>
      </c>
      <c r="AZ10" s="3449" t="s">
        <v>3474</v>
      </c>
      <c r="BA10" s="3449" t="s">
        <v>3473</v>
      </c>
      <c r="BB10" s="3449" t="s">
        <v>3474</v>
      </c>
      <c r="BC10" s="3449" t="s">
        <v>3474</v>
      </c>
      <c r="BD10" s="3449" t="s">
        <v>3474</v>
      </c>
      <c r="BE10" s="3449" t="s">
        <v>3474</v>
      </c>
      <c r="BF10" s="3449" t="s">
        <v>3499</v>
      </c>
    </row>
    <row r="11" spans="1:58" s="3449" customFormat="1" ht="14.25">
      <c r="A11" s="3449" t="s">
        <v>3540</v>
      </c>
      <c r="B11" s="3449" t="s">
        <v>3381</v>
      </c>
      <c r="C11" s="3449" t="s">
        <v>3541</v>
      </c>
      <c r="D11" s="3449" t="s">
        <v>3464</v>
      </c>
      <c r="E11" s="3449" t="s">
        <v>3465</v>
      </c>
      <c r="F11" s="3449" t="s">
        <v>3509</v>
      </c>
      <c r="G11" s="3449" t="s">
        <v>3542</v>
      </c>
      <c r="H11" s="3449" t="s">
        <v>3468</v>
      </c>
      <c r="I11" s="3449">
        <v>1080820</v>
      </c>
      <c r="J11" s="3449">
        <v>421534</v>
      </c>
      <c r="K11" s="3449">
        <v>0.39</v>
      </c>
      <c r="L11" s="3449">
        <v>0.39</v>
      </c>
      <c r="M11" s="3449" t="s">
        <v>3469</v>
      </c>
      <c r="N11" s="3449" t="s">
        <v>3543</v>
      </c>
      <c r="O11" s="3449" t="s">
        <v>3544</v>
      </c>
      <c r="P11" s="3449" t="s">
        <v>3472</v>
      </c>
      <c r="Q11" s="3449" t="s">
        <v>3473</v>
      </c>
      <c r="R11" s="3449" t="s">
        <v>3474</v>
      </c>
      <c r="S11" s="3449" t="s">
        <v>3474</v>
      </c>
      <c r="T11" s="3449" t="s">
        <v>3474</v>
      </c>
      <c r="U11" s="3449" t="s">
        <v>3474</v>
      </c>
      <c r="V11" s="3449" t="s">
        <v>3474</v>
      </c>
      <c r="W11" s="3449" t="s">
        <v>3474</v>
      </c>
      <c r="X11" s="3449">
        <v>0</v>
      </c>
      <c r="Y11" s="3449">
        <v>0</v>
      </c>
      <c r="Z11" s="3449">
        <v>0</v>
      </c>
      <c r="AA11" s="3449">
        <v>0</v>
      </c>
      <c r="AB11" s="3452">
        <v>41838.000497685185</v>
      </c>
      <c r="AC11" s="3452">
        <v>41858.000497685185</v>
      </c>
      <c r="AD11" s="3452">
        <v>41872.000497685185</v>
      </c>
      <c r="AE11" s="3452">
        <v>41872.000497685185</v>
      </c>
      <c r="AF11" s="3449" t="s">
        <v>3545</v>
      </c>
      <c r="AG11" s="3449" t="s">
        <v>3477</v>
      </c>
      <c r="AH11" s="3449" t="s">
        <v>3546</v>
      </c>
      <c r="AI11" s="3449" t="s">
        <v>3474</v>
      </c>
      <c r="AJ11" s="3449" t="s">
        <v>3474</v>
      </c>
      <c r="AK11" s="3449">
        <v>568000</v>
      </c>
      <c r="AL11" s="3449">
        <v>170000</v>
      </c>
      <c r="AM11" s="3449" t="s">
        <v>633</v>
      </c>
      <c r="AN11" s="3449">
        <v>568000</v>
      </c>
      <c r="AO11" s="3449">
        <v>5255.26</v>
      </c>
      <c r="AP11" s="3449">
        <v>5255.26</v>
      </c>
      <c r="AQ11" s="3449">
        <v>350.35</v>
      </c>
      <c r="AR11" s="3449">
        <v>350.35</v>
      </c>
      <c r="AS11" s="3449">
        <v>13475</v>
      </c>
      <c r="AT11" s="3449">
        <v>13475</v>
      </c>
      <c r="AU11" s="3449" t="s">
        <v>3474</v>
      </c>
      <c r="AV11" s="3449" t="s">
        <v>3474</v>
      </c>
      <c r="AW11" s="3449">
        <v>0</v>
      </c>
      <c r="AX11" s="3449" t="s">
        <v>3539</v>
      </c>
      <c r="AY11" s="3449" t="s">
        <v>3473</v>
      </c>
      <c r="AZ11" s="3449" t="s">
        <v>3474</v>
      </c>
      <c r="BA11" s="3449" t="s">
        <v>3473</v>
      </c>
      <c r="BB11" s="3449" t="s">
        <v>3474</v>
      </c>
      <c r="BC11" s="3449" t="s">
        <v>3474</v>
      </c>
      <c r="BD11" s="3449" t="s">
        <v>3474</v>
      </c>
      <c r="BE11" s="3449" t="s">
        <v>3474</v>
      </c>
      <c r="BF11" s="3449" t="s">
        <v>3499</v>
      </c>
    </row>
    <row r="12" spans="1:58" s="3449" customFormat="1" ht="14.25">
      <c r="A12" s="3449" t="s">
        <v>3547</v>
      </c>
      <c r="B12" s="3449" t="s">
        <v>3381</v>
      </c>
      <c r="C12" s="3449" t="s">
        <v>3548</v>
      </c>
      <c r="D12" s="3449" t="s">
        <v>3464</v>
      </c>
      <c r="E12" s="3449" t="s">
        <v>3465</v>
      </c>
      <c r="F12" s="3449" t="s">
        <v>3466</v>
      </c>
      <c r="G12" s="3449" t="s">
        <v>3549</v>
      </c>
      <c r="H12" s="3449" t="s">
        <v>3468</v>
      </c>
      <c r="I12" s="3449">
        <v>7055.7</v>
      </c>
      <c r="J12" s="3449">
        <v>14111.39</v>
      </c>
      <c r="K12" s="3449">
        <v>2</v>
      </c>
      <c r="L12" s="3449">
        <v>2</v>
      </c>
      <c r="M12" s="3449" t="s">
        <v>3469</v>
      </c>
      <c r="N12" s="3449" t="s">
        <v>3535</v>
      </c>
      <c r="O12" s="3449" t="s">
        <v>3550</v>
      </c>
      <c r="P12" s="3449" t="s">
        <v>3472</v>
      </c>
      <c r="Q12" s="3449" t="s">
        <v>3473</v>
      </c>
      <c r="R12" s="3449" t="s">
        <v>3474</v>
      </c>
      <c r="S12" s="3449" t="s">
        <v>3474</v>
      </c>
      <c r="T12" s="3449" t="s">
        <v>3474</v>
      </c>
      <c r="U12" s="3449" t="s">
        <v>3474</v>
      </c>
      <c r="V12" s="3449" t="s">
        <v>3474</v>
      </c>
      <c r="W12" s="3449" t="s">
        <v>3474</v>
      </c>
      <c r="X12" s="3449" t="s">
        <v>3474</v>
      </c>
      <c r="Y12" s="3449" t="s">
        <v>3474</v>
      </c>
      <c r="Z12" s="3449">
        <v>0</v>
      </c>
      <c r="AA12" s="3449">
        <v>0</v>
      </c>
      <c r="AB12" s="3449" t="s">
        <v>3474</v>
      </c>
      <c r="AC12" s="3452">
        <v>39581.000497685185</v>
      </c>
      <c r="AD12" s="3452">
        <v>39595.000497685185</v>
      </c>
      <c r="AE12" s="3452">
        <v>39595.000497685185</v>
      </c>
      <c r="AF12" s="3449" t="s">
        <v>3474</v>
      </c>
      <c r="AG12" s="3449" t="s">
        <v>3477</v>
      </c>
      <c r="AH12" s="3449" t="s">
        <v>3551</v>
      </c>
      <c r="AI12" s="3449" t="s">
        <v>3474</v>
      </c>
      <c r="AJ12" s="3449" t="s">
        <v>3474</v>
      </c>
      <c r="AK12" s="3449">
        <v>2957.67</v>
      </c>
      <c r="AL12" s="3449">
        <v>300</v>
      </c>
      <c r="AM12" s="3449" t="s">
        <v>633</v>
      </c>
      <c r="AN12" s="3449">
        <v>3037.67</v>
      </c>
      <c r="AO12" s="3449">
        <v>4191.88</v>
      </c>
      <c r="AP12" s="3449">
        <v>4305.2700000000004</v>
      </c>
      <c r="AQ12" s="3449">
        <v>279.45999999999998</v>
      </c>
      <c r="AR12" s="3449">
        <v>287.02</v>
      </c>
      <c r="AS12" s="3449">
        <v>2096</v>
      </c>
      <c r="AT12" s="3449">
        <v>2153</v>
      </c>
      <c r="AU12" s="3449" t="s">
        <v>3474</v>
      </c>
      <c r="AV12" s="3449" t="s">
        <v>3474</v>
      </c>
      <c r="AW12" s="3449">
        <v>2.7</v>
      </c>
      <c r="AX12" s="3449" t="s">
        <v>3539</v>
      </c>
      <c r="AY12" s="3449" t="s">
        <v>3473</v>
      </c>
      <c r="AZ12" s="3449" t="s">
        <v>3474</v>
      </c>
      <c r="BA12" s="3449" t="s">
        <v>3473</v>
      </c>
      <c r="BB12" s="3449" t="s">
        <v>3474</v>
      </c>
      <c r="BC12" s="3449" t="s">
        <v>3474</v>
      </c>
      <c r="BD12" s="3449" t="s">
        <v>3474</v>
      </c>
      <c r="BE12" s="3449" t="s">
        <v>3474</v>
      </c>
      <c r="BF12" s="3449" t="s">
        <v>3499</v>
      </c>
    </row>
    <row r="13" spans="1:58" s="3449" customFormat="1" ht="14.25">
      <c r="A13" s="3449" t="s">
        <v>3552</v>
      </c>
      <c r="B13" s="3449" t="s">
        <v>3381</v>
      </c>
      <c r="C13" s="3449" t="s">
        <v>3553</v>
      </c>
      <c r="D13" s="3449" t="s">
        <v>3464</v>
      </c>
      <c r="E13" s="3449" t="s">
        <v>3465</v>
      </c>
      <c r="F13" s="3449" t="s">
        <v>3466</v>
      </c>
      <c r="G13" s="3449" t="s">
        <v>3554</v>
      </c>
      <c r="H13" s="3449" t="s">
        <v>3468</v>
      </c>
      <c r="I13" s="3449">
        <v>67835</v>
      </c>
      <c r="J13" s="3449">
        <v>27134</v>
      </c>
      <c r="K13" s="3449">
        <v>0.4</v>
      </c>
      <c r="L13" s="3449">
        <v>0.4</v>
      </c>
      <c r="M13" s="3449" t="s">
        <v>3469</v>
      </c>
      <c r="N13" s="3449" t="s">
        <v>3470</v>
      </c>
      <c r="O13" s="3449" t="s">
        <v>3555</v>
      </c>
      <c r="P13" s="3449" t="s">
        <v>3472</v>
      </c>
      <c r="Q13" s="3449" t="s">
        <v>3473</v>
      </c>
      <c r="R13" s="3449" t="s">
        <v>3474</v>
      </c>
      <c r="S13" s="3449" t="s">
        <v>3474</v>
      </c>
      <c r="T13" s="3449" t="s">
        <v>3474</v>
      </c>
      <c r="U13" s="3449" t="s">
        <v>3474</v>
      </c>
      <c r="V13" s="3449" t="s">
        <v>3474</v>
      </c>
      <c r="W13" s="3449" t="s">
        <v>3474</v>
      </c>
      <c r="X13" s="3449" t="s">
        <v>3474</v>
      </c>
      <c r="Y13" s="3449" t="s">
        <v>3474</v>
      </c>
      <c r="Z13" s="3449">
        <v>0</v>
      </c>
      <c r="AA13" s="3449">
        <v>0</v>
      </c>
      <c r="AB13" s="3449" t="s">
        <v>3474</v>
      </c>
      <c r="AC13" s="3452">
        <v>40350.000497685185</v>
      </c>
      <c r="AD13" s="3452">
        <v>40364.000497685185</v>
      </c>
      <c r="AE13" s="3452">
        <v>40364.000497685185</v>
      </c>
      <c r="AF13" s="3449" t="s">
        <v>3474</v>
      </c>
      <c r="AG13" s="3449" t="s">
        <v>3477</v>
      </c>
      <c r="AH13" s="3449" t="s">
        <v>3556</v>
      </c>
      <c r="AI13" s="3449" t="s">
        <v>3474</v>
      </c>
      <c r="AJ13" s="3449" t="s">
        <v>3474</v>
      </c>
      <c r="AK13" s="3449">
        <v>16242</v>
      </c>
      <c r="AL13" s="3449">
        <v>4800</v>
      </c>
      <c r="AM13" s="3449" t="s">
        <v>633</v>
      </c>
      <c r="AN13" s="3449">
        <v>16242</v>
      </c>
      <c r="AO13" s="3449">
        <v>2394.33</v>
      </c>
      <c r="AP13" s="3449">
        <v>2394.33</v>
      </c>
      <c r="AQ13" s="3449">
        <v>159.62</v>
      </c>
      <c r="AR13" s="3449">
        <v>159.62</v>
      </c>
      <c r="AS13" s="3449">
        <v>5986</v>
      </c>
      <c r="AT13" s="3449">
        <v>5986</v>
      </c>
      <c r="AU13" s="3449" t="s">
        <v>3474</v>
      </c>
      <c r="AV13" s="3449" t="s">
        <v>3474</v>
      </c>
      <c r="AW13" s="3449">
        <v>0</v>
      </c>
      <c r="AX13" s="3449" t="s">
        <v>3539</v>
      </c>
      <c r="AY13" s="3449" t="s">
        <v>3473</v>
      </c>
      <c r="AZ13" s="3449" t="s">
        <v>3474</v>
      </c>
      <c r="BA13" s="3449" t="s">
        <v>3473</v>
      </c>
      <c r="BB13" s="3449" t="s">
        <v>3474</v>
      </c>
      <c r="BC13" s="3449" t="s">
        <v>3474</v>
      </c>
      <c r="BD13" s="3449" t="s">
        <v>3474</v>
      </c>
      <c r="BE13" s="3449" t="s">
        <v>3474</v>
      </c>
      <c r="BF13" s="3449" t="s">
        <v>3499</v>
      </c>
    </row>
    <row r="14" spans="1:58" s="3449" customFormat="1" ht="14.25">
      <c r="A14" s="3449" t="s">
        <v>3557</v>
      </c>
      <c r="B14" s="3449" t="s">
        <v>3381</v>
      </c>
      <c r="C14" s="3449" t="s">
        <v>3558</v>
      </c>
      <c r="D14" s="3449" t="s">
        <v>3464</v>
      </c>
      <c r="E14" s="3449" t="s">
        <v>3465</v>
      </c>
      <c r="F14" s="3449" t="s">
        <v>3466</v>
      </c>
      <c r="G14" s="3449" t="s">
        <v>3559</v>
      </c>
      <c r="H14" s="3449" t="s">
        <v>3468</v>
      </c>
      <c r="I14" s="3449">
        <v>10444.59</v>
      </c>
      <c r="J14" s="3449">
        <v>15670</v>
      </c>
      <c r="K14" s="3449">
        <v>1.5</v>
      </c>
      <c r="L14" s="3449">
        <v>0</v>
      </c>
      <c r="M14" s="3449" t="s">
        <v>3469</v>
      </c>
      <c r="N14" s="3449" t="s">
        <v>3470</v>
      </c>
      <c r="O14" s="3449" t="s">
        <v>3560</v>
      </c>
      <c r="P14" s="3449" t="s">
        <v>3472</v>
      </c>
      <c r="Q14" s="3449" t="s">
        <v>3473</v>
      </c>
      <c r="R14" s="3449" t="s">
        <v>3474</v>
      </c>
      <c r="S14" s="3449" t="s">
        <v>3474</v>
      </c>
      <c r="T14" s="3449" t="s">
        <v>3474</v>
      </c>
      <c r="U14" s="3449" t="s">
        <v>3474</v>
      </c>
      <c r="V14" s="3449" t="s">
        <v>3474</v>
      </c>
      <c r="W14" s="3449" t="s">
        <v>3474</v>
      </c>
      <c r="X14" s="3449" t="s">
        <v>3474</v>
      </c>
      <c r="Y14" s="3449" t="s">
        <v>3474</v>
      </c>
      <c r="Z14" s="3449">
        <v>0</v>
      </c>
      <c r="AA14" s="3449">
        <v>0</v>
      </c>
      <c r="AB14" s="3449" t="s">
        <v>3474</v>
      </c>
      <c r="AC14" s="3452">
        <v>38818.000497685185</v>
      </c>
      <c r="AD14" s="3452">
        <v>38903.000497685185</v>
      </c>
      <c r="AE14" s="3452">
        <v>38903.000497685185</v>
      </c>
      <c r="AF14" s="3449" t="s">
        <v>3474</v>
      </c>
      <c r="AG14" s="3449" t="s">
        <v>3477</v>
      </c>
      <c r="AH14" s="3449" t="s">
        <v>3561</v>
      </c>
      <c r="AI14" s="3449" t="s">
        <v>3474</v>
      </c>
      <c r="AJ14" s="3449" t="s">
        <v>3474</v>
      </c>
      <c r="AK14" s="3449">
        <v>912.4</v>
      </c>
      <c r="AL14" s="3449">
        <v>100</v>
      </c>
      <c r="AM14" s="3449" t="s">
        <v>633</v>
      </c>
      <c r="AN14" s="3449">
        <v>912.4</v>
      </c>
      <c r="AO14" s="3449">
        <v>873.56</v>
      </c>
      <c r="AP14" s="3449">
        <v>873.56</v>
      </c>
      <c r="AQ14" s="3449">
        <v>58.24</v>
      </c>
      <c r="AR14" s="3449">
        <v>58.24</v>
      </c>
      <c r="AS14" s="3449">
        <v>582</v>
      </c>
      <c r="AT14" s="3449">
        <v>582</v>
      </c>
      <c r="AU14" s="3449" t="s">
        <v>3474</v>
      </c>
      <c r="AV14" s="3449" t="s">
        <v>3474</v>
      </c>
      <c r="AW14" s="3449">
        <v>0</v>
      </c>
      <c r="AX14" s="3449" t="s">
        <v>3562</v>
      </c>
      <c r="AY14" s="3449" t="s">
        <v>3473</v>
      </c>
      <c r="AZ14" s="3449" t="s">
        <v>3474</v>
      </c>
      <c r="BA14" s="3449" t="s">
        <v>3473</v>
      </c>
      <c r="BB14" s="3449" t="s">
        <v>3474</v>
      </c>
      <c r="BC14" s="3449" t="s">
        <v>3474</v>
      </c>
      <c r="BD14" s="3449" t="s">
        <v>3474</v>
      </c>
      <c r="BE14" s="3449" t="s">
        <v>3474</v>
      </c>
      <c r="BF14" s="3449" t="s">
        <v>3499</v>
      </c>
    </row>
    <row r="15" spans="1:58" s="3449" customFormat="1" ht="14.25">
      <c r="A15" s="3449" t="s">
        <v>3563</v>
      </c>
      <c r="B15" s="3449" t="s">
        <v>3381</v>
      </c>
      <c r="C15" s="3449" t="s">
        <v>3564</v>
      </c>
      <c r="D15" s="3449" t="s">
        <v>3464</v>
      </c>
      <c r="E15" s="3449" t="s">
        <v>3465</v>
      </c>
      <c r="F15" s="3449" t="s">
        <v>3565</v>
      </c>
      <c r="G15" s="3449" t="s">
        <v>3566</v>
      </c>
      <c r="H15" s="3449" t="s">
        <v>3468</v>
      </c>
      <c r="I15" s="3449">
        <v>69200.61</v>
      </c>
      <c r="J15" s="3449">
        <v>138608</v>
      </c>
      <c r="K15" s="3449">
        <v>0.4</v>
      </c>
      <c r="L15" s="3449">
        <v>0.4</v>
      </c>
      <c r="M15" s="3449" t="s">
        <v>3469</v>
      </c>
      <c r="N15" s="3449" t="s">
        <v>3470</v>
      </c>
      <c r="O15" s="3449" t="s">
        <v>3560</v>
      </c>
      <c r="P15" s="3449" t="s">
        <v>3472</v>
      </c>
      <c r="Q15" s="3449" t="s">
        <v>3473</v>
      </c>
      <c r="R15" s="3449" t="s">
        <v>3474</v>
      </c>
      <c r="S15" s="3449" t="s">
        <v>3474</v>
      </c>
      <c r="T15" s="3449" t="s">
        <v>3474</v>
      </c>
      <c r="U15" s="3449" t="s">
        <v>3474</v>
      </c>
      <c r="V15" s="3449" t="s">
        <v>3474</v>
      </c>
      <c r="W15" s="3449" t="s">
        <v>3474</v>
      </c>
      <c r="X15" s="3449" t="s">
        <v>3474</v>
      </c>
      <c r="Y15" s="3449" t="s">
        <v>3474</v>
      </c>
      <c r="Z15" s="3449">
        <v>0</v>
      </c>
      <c r="AA15" s="3449">
        <v>0</v>
      </c>
      <c r="AB15" s="3449" t="s">
        <v>3474</v>
      </c>
      <c r="AC15" s="3452">
        <v>39037.000497685185</v>
      </c>
      <c r="AD15" s="3452">
        <v>39051.000497685185</v>
      </c>
      <c r="AE15" s="3452">
        <v>39051.000497685185</v>
      </c>
      <c r="AF15" s="3449" t="s">
        <v>3474</v>
      </c>
      <c r="AG15" s="3449" t="s">
        <v>3477</v>
      </c>
      <c r="AH15" s="3449" t="s">
        <v>3567</v>
      </c>
      <c r="AI15" s="3449" t="s">
        <v>3474</v>
      </c>
      <c r="AJ15" s="3449" t="s">
        <v>3474</v>
      </c>
      <c r="AK15" s="3449">
        <v>14150.33</v>
      </c>
      <c r="AL15" s="3449">
        <v>1400</v>
      </c>
      <c r="AM15" s="3449" t="s">
        <v>633</v>
      </c>
      <c r="AN15" s="3449">
        <v>14150.33</v>
      </c>
      <c r="AO15" s="3449">
        <v>2044.82</v>
      </c>
      <c r="AP15" s="3449">
        <v>2044.82</v>
      </c>
      <c r="AQ15" s="3449">
        <v>136.32</v>
      </c>
      <c r="AR15" s="3449">
        <v>136.32</v>
      </c>
      <c r="AS15" s="3449">
        <v>1021</v>
      </c>
      <c r="AT15" s="3449">
        <v>1021</v>
      </c>
      <c r="AU15" s="3449" t="s">
        <v>3474</v>
      </c>
      <c r="AV15" s="3449" t="s">
        <v>3474</v>
      </c>
      <c r="AW15" s="3449">
        <v>0</v>
      </c>
      <c r="AX15" s="3449" t="s">
        <v>3568</v>
      </c>
      <c r="AY15" s="3449" t="s">
        <v>3473</v>
      </c>
      <c r="AZ15" s="3449" t="s">
        <v>3474</v>
      </c>
      <c r="BA15" s="3449" t="s">
        <v>3473</v>
      </c>
      <c r="BB15" s="3449" t="s">
        <v>3474</v>
      </c>
      <c r="BC15" s="3449" t="s">
        <v>3474</v>
      </c>
      <c r="BD15" s="3449" t="s">
        <v>3474</v>
      </c>
      <c r="BE15" s="3449" t="s">
        <v>3474</v>
      </c>
      <c r="BF15" s="3449" t="s">
        <v>3499</v>
      </c>
    </row>
    <row r="16" spans="1:58" s="3449" customFormat="1" ht="14.25">
      <c r="A16" s="3449" t="s">
        <v>3569</v>
      </c>
      <c r="B16" s="3449" t="s">
        <v>3381</v>
      </c>
      <c r="C16" s="3449" t="s">
        <v>3570</v>
      </c>
      <c r="D16" s="3449" t="s">
        <v>3464</v>
      </c>
      <c r="E16" s="3449" t="s">
        <v>3465</v>
      </c>
      <c r="F16" s="3449" t="s">
        <v>3528</v>
      </c>
      <c r="G16" s="3449" t="s">
        <v>3571</v>
      </c>
      <c r="H16" s="3449" t="s">
        <v>3468</v>
      </c>
      <c r="I16" s="3449">
        <v>4886.83</v>
      </c>
      <c r="J16" s="3449">
        <v>3910</v>
      </c>
      <c r="K16" s="3449">
        <v>0.8</v>
      </c>
      <c r="L16" s="3449">
        <v>0.8</v>
      </c>
      <c r="M16" s="3449" t="s">
        <v>3469</v>
      </c>
      <c r="N16" s="3449" t="s">
        <v>3572</v>
      </c>
      <c r="O16" s="3449" t="s">
        <v>3573</v>
      </c>
      <c r="P16" s="3449" t="s">
        <v>3472</v>
      </c>
      <c r="Q16" s="3449" t="s">
        <v>3473</v>
      </c>
      <c r="R16" s="3449" t="s">
        <v>3474</v>
      </c>
      <c r="S16" s="3449" t="s">
        <v>3474</v>
      </c>
      <c r="T16" s="3449" t="s">
        <v>3474</v>
      </c>
      <c r="U16" s="3449" t="s">
        <v>3474</v>
      </c>
      <c r="V16" s="3449" t="s">
        <v>3474</v>
      </c>
      <c r="W16" s="3449" t="s">
        <v>3474</v>
      </c>
      <c r="X16" s="3449" t="s">
        <v>3474</v>
      </c>
      <c r="Y16" s="3449" t="s">
        <v>3474</v>
      </c>
      <c r="Z16" s="3449">
        <v>0</v>
      </c>
      <c r="AA16" s="3449">
        <v>0</v>
      </c>
      <c r="AB16" s="3449" t="s">
        <v>3474</v>
      </c>
      <c r="AC16" s="3452">
        <v>40231.000497685185</v>
      </c>
      <c r="AD16" s="3452">
        <v>40245.000497685185</v>
      </c>
      <c r="AE16" s="3452">
        <v>40245.000497685185</v>
      </c>
      <c r="AF16" s="3449" t="s">
        <v>3474</v>
      </c>
      <c r="AG16" s="3449" t="s">
        <v>3477</v>
      </c>
      <c r="AH16" s="3449" t="s">
        <v>3574</v>
      </c>
      <c r="AI16" s="3449" t="s">
        <v>3474</v>
      </c>
      <c r="AJ16" s="3449" t="s">
        <v>3474</v>
      </c>
      <c r="AK16" s="3449">
        <v>890</v>
      </c>
      <c r="AL16" s="3449">
        <v>100</v>
      </c>
      <c r="AM16" s="3449" t="s">
        <v>633</v>
      </c>
      <c r="AN16" s="3449">
        <v>5320</v>
      </c>
      <c r="AO16" s="3449">
        <v>1821.22</v>
      </c>
      <c r="AP16" s="3449">
        <v>10886.4</v>
      </c>
      <c r="AQ16" s="3449">
        <v>121.41</v>
      </c>
      <c r="AR16" s="3449">
        <v>725.76</v>
      </c>
      <c r="AS16" s="3449">
        <v>2276</v>
      </c>
      <c r="AT16" s="3449">
        <v>13606</v>
      </c>
      <c r="AU16" s="3449" t="s">
        <v>3474</v>
      </c>
      <c r="AV16" s="3449" t="s">
        <v>3474</v>
      </c>
      <c r="AW16" s="3449">
        <v>497.75</v>
      </c>
      <c r="AX16" s="3449" t="s">
        <v>3568</v>
      </c>
      <c r="AY16" s="3449" t="s">
        <v>3473</v>
      </c>
      <c r="AZ16" s="3449" t="s">
        <v>3474</v>
      </c>
      <c r="BA16" s="3449" t="s">
        <v>3473</v>
      </c>
      <c r="BB16" s="3449" t="s">
        <v>3474</v>
      </c>
      <c r="BC16" s="3449" t="s">
        <v>3474</v>
      </c>
      <c r="BD16" s="3449" t="s">
        <v>3474</v>
      </c>
      <c r="BE16" s="3449" t="s">
        <v>3474</v>
      </c>
      <c r="BF16" s="3449" t="s">
        <v>3499</v>
      </c>
    </row>
    <row r="17" spans="1:58" s="3449" customFormat="1" ht="14.25">
      <c r="A17" s="3449" t="s">
        <v>3575</v>
      </c>
      <c r="B17" s="3449" t="s">
        <v>3381</v>
      </c>
      <c r="C17" s="3449" t="s">
        <v>3576</v>
      </c>
      <c r="D17" s="3449" t="s">
        <v>3464</v>
      </c>
      <c r="E17" s="3449" t="s">
        <v>3465</v>
      </c>
      <c r="F17" s="3449" t="s">
        <v>3577</v>
      </c>
      <c r="G17" s="3449" t="s">
        <v>3578</v>
      </c>
      <c r="H17" s="3449" t="s">
        <v>3468</v>
      </c>
      <c r="I17" s="3449">
        <v>193591.3</v>
      </c>
      <c r="J17" s="3449">
        <v>77436.5</v>
      </c>
      <c r="K17" s="3449">
        <v>0.4</v>
      </c>
      <c r="L17" s="3449">
        <v>0.4</v>
      </c>
      <c r="M17" s="3449" t="s">
        <v>3469</v>
      </c>
      <c r="N17" s="3449" t="s">
        <v>3579</v>
      </c>
      <c r="O17" s="3449" t="s">
        <v>3580</v>
      </c>
      <c r="P17" s="3449" t="s">
        <v>3472</v>
      </c>
      <c r="Q17" s="3449" t="s">
        <v>3473</v>
      </c>
      <c r="R17" s="3449" t="s">
        <v>3474</v>
      </c>
      <c r="S17" s="3449" t="s">
        <v>3474</v>
      </c>
      <c r="T17" s="3449" t="s">
        <v>3474</v>
      </c>
      <c r="U17" s="3449" t="s">
        <v>3474</v>
      </c>
      <c r="V17" s="3449" t="s">
        <v>3474</v>
      </c>
      <c r="W17" s="3449" t="s">
        <v>3474</v>
      </c>
      <c r="X17" s="3449" t="s">
        <v>3474</v>
      </c>
      <c r="Y17" s="3449" t="s">
        <v>3474</v>
      </c>
      <c r="Z17" s="3449">
        <v>0</v>
      </c>
      <c r="AA17" s="3449">
        <v>0</v>
      </c>
      <c r="AB17" s="3449" t="s">
        <v>3474</v>
      </c>
      <c r="AC17" s="3452">
        <v>39979.000497685185</v>
      </c>
      <c r="AD17" s="3452">
        <v>39993.000497685185</v>
      </c>
      <c r="AE17" s="3452">
        <v>39993.000497685185</v>
      </c>
      <c r="AF17" s="3449" t="s">
        <v>3474</v>
      </c>
      <c r="AG17" s="3449" t="s">
        <v>3477</v>
      </c>
      <c r="AH17" s="3449" t="s">
        <v>3556</v>
      </c>
      <c r="AI17" s="3449" t="s">
        <v>3474</v>
      </c>
      <c r="AJ17" s="3449" t="s">
        <v>3474</v>
      </c>
      <c r="AK17" s="3449">
        <v>25696.880000000001</v>
      </c>
      <c r="AL17" s="3449">
        <v>2500</v>
      </c>
      <c r="AM17" s="3449" t="s">
        <v>633</v>
      </c>
      <c r="AN17" s="3449">
        <v>25696.880000000001</v>
      </c>
      <c r="AO17" s="3449">
        <v>1327.37</v>
      </c>
      <c r="AP17" s="3449">
        <v>1327.37</v>
      </c>
      <c r="AQ17" s="3449">
        <v>88.49</v>
      </c>
      <c r="AR17" s="3449">
        <v>88.49</v>
      </c>
      <c r="AS17" s="3449">
        <v>3318</v>
      </c>
      <c r="AT17" s="3449">
        <v>3318</v>
      </c>
      <c r="AU17" s="3449" t="s">
        <v>3474</v>
      </c>
      <c r="AV17" s="3449" t="s">
        <v>3474</v>
      </c>
      <c r="AW17" s="3449">
        <v>0</v>
      </c>
      <c r="AX17" s="3449" t="s">
        <v>3539</v>
      </c>
      <c r="AY17" s="3449" t="s">
        <v>3473</v>
      </c>
      <c r="AZ17" s="3449" t="s">
        <v>3474</v>
      </c>
      <c r="BA17" s="3449" t="s">
        <v>3473</v>
      </c>
      <c r="BB17" s="3449" t="s">
        <v>3474</v>
      </c>
      <c r="BC17" s="3449" t="s">
        <v>3474</v>
      </c>
      <c r="BD17" s="3449" t="s">
        <v>3474</v>
      </c>
      <c r="BE17" s="3449" t="s">
        <v>3474</v>
      </c>
      <c r="BF17" s="3449" t="s">
        <v>3499</v>
      </c>
    </row>
    <row r="18" spans="1:58" s="3449" customFormat="1" ht="14.25">
      <c r="A18" s="3449" t="s">
        <v>3581</v>
      </c>
      <c r="B18" s="3449" t="s">
        <v>3381</v>
      </c>
      <c r="C18" s="3449" t="s">
        <v>3582</v>
      </c>
      <c r="D18" s="3449" t="s">
        <v>3464</v>
      </c>
      <c r="E18" s="3449" t="s">
        <v>3465</v>
      </c>
      <c r="F18" s="3449" t="s">
        <v>3583</v>
      </c>
      <c r="G18" s="3449" t="s">
        <v>3584</v>
      </c>
      <c r="H18" s="3449" t="s">
        <v>3468</v>
      </c>
      <c r="I18" s="3449">
        <v>182417.1</v>
      </c>
      <c r="J18" s="3449">
        <v>195000</v>
      </c>
      <c r="K18" s="3449">
        <v>1.1000000000000001</v>
      </c>
      <c r="L18" s="3449">
        <v>1.1000000000000001</v>
      </c>
      <c r="M18" s="3449" t="s">
        <v>3469</v>
      </c>
      <c r="N18" s="3449" t="s">
        <v>3493</v>
      </c>
      <c r="O18" s="3449" t="s">
        <v>3585</v>
      </c>
      <c r="P18" s="3449" t="s">
        <v>3472</v>
      </c>
      <c r="Q18" s="3449" t="s">
        <v>3473</v>
      </c>
      <c r="R18" s="3449" t="s">
        <v>3474</v>
      </c>
      <c r="S18" s="3449" t="s">
        <v>3474</v>
      </c>
      <c r="T18" s="3449" t="s">
        <v>3474</v>
      </c>
      <c r="U18" s="3449" t="s">
        <v>3474</v>
      </c>
      <c r="V18" s="3449" t="s">
        <v>3474</v>
      </c>
      <c r="W18" s="3449" t="s">
        <v>3474</v>
      </c>
      <c r="X18" s="3449" t="s">
        <v>3474</v>
      </c>
      <c r="Y18" s="3449" t="s">
        <v>3474</v>
      </c>
      <c r="Z18" s="3449">
        <v>0</v>
      </c>
      <c r="AA18" s="3449">
        <v>0</v>
      </c>
      <c r="AB18" s="3449" t="s">
        <v>3474</v>
      </c>
      <c r="AC18" s="3452">
        <v>40014.000497685185</v>
      </c>
      <c r="AD18" s="3452">
        <v>40028.000497685185</v>
      </c>
      <c r="AE18" s="3452">
        <v>40028.000497685185</v>
      </c>
      <c r="AF18" s="3449" t="s">
        <v>3474</v>
      </c>
      <c r="AG18" s="3449" t="s">
        <v>3477</v>
      </c>
      <c r="AH18" s="3449" t="s">
        <v>3586</v>
      </c>
      <c r="AI18" s="3449" t="s">
        <v>3474</v>
      </c>
      <c r="AJ18" s="3449" t="s">
        <v>3474</v>
      </c>
      <c r="AK18" s="3449">
        <v>27744.53</v>
      </c>
      <c r="AL18" s="3449">
        <v>2800</v>
      </c>
      <c r="AM18" s="3449" t="s">
        <v>633</v>
      </c>
      <c r="AN18" s="3449">
        <v>45000</v>
      </c>
      <c r="AO18" s="3449">
        <v>1520.93</v>
      </c>
      <c r="AP18" s="3449">
        <v>2466.87</v>
      </c>
      <c r="AQ18" s="3449">
        <v>101.4</v>
      </c>
      <c r="AR18" s="3449">
        <v>164.46</v>
      </c>
      <c r="AS18" s="3449">
        <v>1423</v>
      </c>
      <c r="AT18" s="3449">
        <v>2308</v>
      </c>
      <c r="AU18" s="3449" t="s">
        <v>3474</v>
      </c>
      <c r="AV18" s="3449" t="s">
        <v>3474</v>
      </c>
      <c r="AW18" s="3449">
        <v>62.19</v>
      </c>
      <c r="AX18" s="3449" t="s">
        <v>3539</v>
      </c>
      <c r="AY18" s="3449" t="s">
        <v>3473</v>
      </c>
      <c r="AZ18" s="3449" t="s">
        <v>3474</v>
      </c>
      <c r="BA18" s="3449" t="s">
        <v>3473</v>
      </c>
      <c r="BB18" s="3449" t="s">
        <v>3474</v>
      </c>
      <c r="BC18" s="3449" t="s">
        <v>3474</v>
      </c>
      <c r="BD18" s="3449" t="s">
        <v>3474</v>
      </c>
      <c r="BE18" s="3449" t="s">
        <v>3474</v>
      </c>
      <c r="BF18" s="3449" t="s">
        <v>3499</v>
      </c>
    </row>
    <row r="19" spans="1:58" s="3449" customFormat="1" ht="14.2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928</v>
      </c>
      <c r="B2" s="3536" t="s">
        <v>929</v>
      </c>
      <c r="C2" s="3536" t="s">
        <v>930</v>
      </c>
      <c r="D2" s="3536" t="str">
        <f>结果表12号楼!D116</f>
        <v>出让国有建设用地使用权价值</v>
      </c>
      <c r="E2" s="3536"/>
      <c r="F2" s="3536" t="str">
        <f>结果表12号楼!F116</f>
        <v>建筑物价值</v>
      </c>
      <c r="G2" s="3536"/>
      <c r="H2" s="3536" t="str">
        <f>IF(项目基本情况!B9="房地产市场价值","房地产市场价值","房地产价值")</f>
        <v>房地产价值</v>
      </c>
      <c r="I2" s="3536"/>
    </row>
    <row r="3" spans="1:9" ht="15">
      <c r="A3" s="3531"/>
      <c r="B3" s="3531"/>
      <c r="C3" s="3531"/>
      <c r="D3" s="854" t="s">
        <v>925</v>
      </c>
      <c r="E3" s="854" t="s">
        <v>931</v>
      </c>
      <c r="F3" s="854" t="s">
        <v>925</v>
      </c>
      <c r="G3" s="854" t="s">
        <v>926</v>
      </c>
      <c r="H3" s="854" t="s">
        <v>925</v>
      </c>
      <c r="I3" s="854" t="s">
        <v>926</v>
      </c>
    </row>
    <row r="4" spans="1:9" ht="15">
      <c r="A4" s="1504" t="str">
        <f>项目基本情况!S2</f>
        <v>北京市房地产</v>
      </c>
      <c r="B4" s="854">
        <f>项目基本情况!C17</f>
        <v>36780.86</v>
      </c>
      <c r="C4" s="854">
        <f>项目基本情况!C18</f>
        <v>17362.38</v>
      </c>
      <c r="D4" s="854">
        <f ca="1">结果表12号楼!D118</f>
        <v>15523</v>
      </c>
      <c r="E4" s="854">
        <f ca="1">结果表12号楼!E118</f>
        <v>13513</v>
      </c>
      <c r="F4" s="854">
        <f ca="1">结果表12号楼!F118</f>
        <v>12197</v>
      </c>
      <c r="G4" s="854">
        <f ca="1">结果表12号楼!G118</f>
        <v>10617</v>
      </c>
      <c r="H4" s="854">
        <f ca="1">结果表12号楼!H118</f>
        <v>27720</v>
      </c>
      <c r="I4" s="854">
        <f ca="1">结果表12号楼!I118</f>
        <v>24130</v>
      </c>
    </row>
    <row r="5" spans="1:9" ht="30" customHeight="1">
      <c r="A5" s="3531" t="s">
        <v>927</v>
      </c>
      <c r="B5" s="3531"/>
      <c r="C5" s="3531"/>
      <c r="D5" s="3531" t="str">
        <f ca="1">结果表12号楼!D119</f>
        <v>壹亿伍仟伍佰贰拾叁万元整</v>
      </c>
      <c r="E5" s="3531"/>
      <c r="F5" s="3531" t="str">
        <f ca="1">结果表12号楼!F119</f>
        <v>壹亿贰仟壹佰玖拾柒万元整</v>
      </c>
      <c r="G5" s="3531"/>
      <c r="H5" s="3531" t="str">
        <f ca="1">结果表12号楼!H119</f>
        <v>贰亿柒仟柒佰贰拾万元整</v>
      </c>
      <c r="I5" s="3531"/>
    </row>
    <row r="6" spans="1:9" ht="15.75">
      <c r="A6" s="3530" t="str">
        <f>结果表12号楼!A120</f>
        <v>估价师知悉的法定优先受偿款</v>
      </c>
      <c r="B6" s="3530"/>
      <c r="C6" s="3530"/>
      <c r="D6" s="3530">
        <f>结果表12号楼!D120</f>
        <v>0</v>
      </c>
      <c r="E6" s="3530"/>
      <c r="F6" s="3530"/>
      <c r="G6" s="3530"/>
      <c r="H6" s="3530"/>
      <c r="I6" s="3530"/>
    </row>
    <row r="7" spans="1:9" ht="15">
      <c r="A7" s="3531" t="s">
        <v>927</v>
      </c>
      <c r="B7" s="3531"/>
      <c r="C7" s="3531"/>
      <c r="D7" s="3532" t="str">
        <f>结果表12号楼!D121</f>
        <v>零元整</v>
      </c>
      <c r="E7" s="3533"/>
      <c r="F7" s="3533"/>
      <c r="G7" s="3533"/>
      <c r="H7" s="3533"/>
      <c r="I7" s="3534"/>
    </row>
    <row r="8" spans="1:9" ht="15.75">
      <c r="A8" s="3530" t="str">
        <f>结果表12号楼!A122</f>
        <v>房地产抵押价值</v>
      </c>
      <c r="B8" s="3530"/>
      <c r="C8" s="3530"/>
      <c r="D8" s="3530">
        <f ca="1">结果表12号楼!D122</f>
        <v>27720</v>
      </c>
      <c r="E8" s="3530"/>
      <c r="F8" s="3530"/>
      <c r="G8" s="3530"/>
      <c r="H8" s="3530"/>
      <c r="I8" s="3530"/>
    </row>
    <row r="9" spans="1:9" ht="15">
      <c r="A9" s="3531" t="s">
        <v>927</v>
      </c>
      <c r="B9" s="3531"/>
      <c r="C9" s="3531"/>
      <c r="D9" s="3531" t="str">
        <f ca="1">结果表12号楼!D123</f>
        <v>贰亿柒仟柒佰贰拾万元整</v>
      </c>
      <c r="E9" s="3531"/>
      <c r="F9" s="3531"/>
      <c r="G9" s="3531"/>
      <c r="H9" s="3531"/>
      <c r="I9" s="3531"/>
    </row>
    <row r="10" spans="1:9" ht="15.75">
      <c r="A10" s="3530" t="str">
        <f>结果表12号楼!A124</f>
        <v/>
      </c>
      <c r="B10" s="3530"/>
      <c r="C10" s="3530"/>
      <c r="D10" s="3530" t="str">
        <f>结果表12号楼!D124</f>
        <v>——</v>
      </c>
      <c r="E10" s="3530"/>
      <c r="F10" s="3530"/>
      <c r="G10" s="3530"/>
      <c r="H10" s="3530"/>
      <c r="I10" s="3530"/>
    </row>
    <row r="11" spans="1:9" ht="15">
      <c r="A11" s="3531" t="s">
        <v>927</v>
      </c>
      <c r="B11" s="3531"/>
      <c r="C11" s="3531"/>
      <c r="D11" s="3531" t="e">
        <f>结果表12号楼!D125</f>
        <v>#VALUE!</v>
      </c>
      <c r="E11" s="3531"/>
      <c r="F11" s="3531"/>
      <c r="G11" s="3531"/>
      <c r="H11" s="3531"/>
      <c r="I11" s="3531"/>
    </row>
    <row r="12" spans="1:9" ht="15.75">
      <c r="A12" s="3530" t="str">
        <f>结果表12号楼!A126</f>
        <v>抵押净值</v>
      </c>
      <c r="B12" s="3530"/>
      <c r="C12" s="3530"/>
      <c r="D12" s="3530">
        <f ca="1">结果表12号楼!D126</f>
        <v>10539</v>
      </c>
      <c r="E12" s="3530"/>
      <c r="F12" s="3530"/>
      <c r="G12" s="3530"/>
      <c r="H12" s="3530"/>
      <c r="I12" s="3530"/>
    </row>
    <row r="13" spans="1:9" ht="15.75" thickBot="1">
      <c r="A13" s="3528" t="s">
        <v>927</v>
      </c>
      <c r="B13" s="3528"/>
      <c r="C13" s="3528"/>
      <c r="D13" s="3528" t="str">
        <f ca="1">结果表12号楼!D127</f>
        <v>壹亿零伍佰叁拾玖万元整</v>
      </c>
      <c r="E13" s="3528"/>
      <c r="F13" s="3528"/>
      <c r="G13" s="3528"/>
      <c r="H13" s="3528"/>
      <c r="I13" s="3528"/>
    </row>
    <row r="14" spans="1:9" ht="15" thickTop="1">
      <c r="A14" s="3529" t="s">
        <v>932</v>
      </c>
      <c r="B14" s="3529"/>
      <c r="C14" s="3529"/>
      <c r="D14" s="3529"/>
      <c r="E14" s="3529"/>
      <c r="F14" s="3529"/>
      <c r="G14" s="3529"/>
      <c r="H14" s="3529"/>
      <c r="I14" s="352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topLeftCell="C1" workbookViewId="0">
      <selection activeCell="H55" sqref="H55"/>
    </sheetView>
  </sheetViews>
  <sheetFormatPr defaultRowHeight="12"/>
  <cols>
    <col min="1" max="1" width="25.75" style="3464" bestFit="1" customWidth="1"/>
    <col min="2" max="2" width="28.125" style="3464" customWidth="1"/>
    <col min="3" max="3" width="9" style="3464"/>
    <col min="4" max="4" width="25" style="3464" bestFit="1" customWidth="1"/>
    <col min="5" max="5" width="11.25" style="3464" bestFit="1" customWidth="1"/>
    <col min="6" max="6" width="11.375" style="3464" customWidth="1"/>
    <col min="7" max="12" width="9" style="3464"/>
    <col min="13" max="13" width="15" style="3464" bestFit="1" customWidth="1"/>
    <col min="14" max="16384" width="9" style="3464"/>
  </cols>
  <sheetData>
    <row r="1" spans="1:14">
      <c r="B1" s="3464" t="s">
        <v>3626</v>
      </c>
      <c r="M1" s="3464" t="s">
        <v>3713</v>
      </c>
    </row>
    <row r="2" spans="1:14">
      <c r="A2" s="3464" t="s">
        <v>3632</v>
      </c>
      <c r="B2" s="3464" t="s">
        <v>3625</v>
      </c>
      <c r="C2" s="3464" t="s">
        <v>3624</v>
      </c>
      <c r="D2" s="3464" t="s">
        <v>3627</v>
      </c>
      <c r="E2" s="3464" t="s">
        <v>3628</v>
      </c>
      <c r="F2" s="3464" t="s">
        <v>3639</v>
      </c>
      <c r="G2" s="3464" t="s">
        <v>3630</v>
      </c>
      <c r="H2" s="3464" t="s">
        <v>3631</v>
      </c>
      <c r="I2" s="3464" t="s">
        <v>3634</v>
      </c>
    </row>
    <row r="3" spans="1:14">
      <c r="A3" s="3464" t="s">
        <v>3633</v>
      </c>
      <c r="B3" s="3464" t="s">
        <v>3623</v>
      </c>
      <c r="C3" s="3464">
        <v>22871</v>
      </c>
      <c r="D3" s="3464" t="s">
        <v>3718</v>
      </c>
      <c r="E3" s="3464">
        <v>3.5</v>
      </c>
      <c r="F3" s="3464">
        <v>29217702.5</v>
      </c>
      <c r="G3" s="3464" t="s">
        <v>3629</v>
      </c>
      <c r="H3" s="3464" t="s">
        <v>3638</v>
      </c>
      <c r="I3" s="3464" t="s">
        <v>3635</v>
      </c>
    </row>
    <row r="4" spans="1:14">
      <c r="A4" s="3464" t="s">
        <v>3633</v>
      </c>
      <c r="B4" s="3464" t="s">
        <v>3636</v>
      </c>
      <c r="C4" s="3464">
        <v>3038</v>
      </c>
      <c r="D4" s="3464" t="s">
        <v>3637</v>
      </c>
      <c r="E4" s="3464">
        <v>4.58</v>
      </c>
      <c r="F4" s="3464">
        <v>5078624.6399999997</v>
      </c>
      <c r="G4" s="3464" t="s">
        <v>3629</v>
      </c>
      <c r="H4" s="3464" t="s">
        <v>3638</v>
      </c>
      <c r="I4" s="3464" t="s">
        <v>3635</v>
      </c>
      <c r="M4" s="3464">
        <v>815801.76</v>
      </c>
      <c r="N4" s="3464" t="s">
        <v>3712</v>
      </c>
    </row>
    <row r="5" spans="1:14">
      <c r="A5" s="3464" t="s">
        <v>3633</v>
      </c>
      <c r="B5" s="3464" t="s">
        <v>3636</v>
      </c>
      <c r="C5" s="3464">
        <v>1121</v>
      </c>
      <c r="D5" s="3464" t="s">
        <v>3717</v>
      </c>
      <c r="E5" s="3464">
        <v>4.58</v>
      </c>
      <c r="F5" s="3464">
        <v>1873976</v>
      </c>
      <c r="G5" s="3464" t="s">
        <v>3629</v>
      </c>
      <c r="H5" s="3464" t="s">
        <v>3638</v>
      </c>
      <c r="I5" s="3464" t="s">
        <v>3635</v>
      </c>
      <c r="M5" s="3464">
        <v>515859.39</v>
      </c>
      <c r="N5" s="3464" t="s">
        <v>3711</v>
      </c>
    </row>
    <row r="6" spans="1:14">
      <c r="A6" s="3464" t="s">
        <v>3640</v>
      </c>
      <c r="B6" s="3464" t="s">
        <v>3710</v>
      </c>
      <c r="C6" s="3464">
        <v>8177</v>
      </c>
      <c r="D6" s="3464" t="s">
        <v>3641</v>
      </c>
      <c r="E6" s="3464">
        <v>3.08</v>
      </c>
      <c r="F6" s="3464">
        <f>766048.62*12</f>
        <v>9192583.4399999995</v>
      </c>
      <c r="G6" s="3464" t="s">
        <v>3642</v>
      </c>
      <c r="H6" s="3464" t="s">
        <v>3638</v>
      </c>
      <c r="I6" s="3464" t="s">
        <v>3643</v>
      </c>
    </row>
    <row r="7" spans="1:14">
      <c r="F7" s="3464">
        <f>SUM(F4:F6)</f>
        <v>16145184.079999998</v>
      </c>
    </row>
    <row r="9" spans="1:14">
      <c r="D9" s="3464" t="s">
        <v>3716</v>
      </c>
      <c r="E9" s="3464" t="s">
        <v>3719</v>
      </c>
      <c r="F9" s="3464" t="s">
        <v>3720</v>
      </c>
      <c r="G9" s="3464" t="s">
        <v>3721</v>
      </c>
      <c r="H9" s="3464" t="s">
        <v>3722</v>
      </c>
    </row>
    <row r="10" spans="1:14">
      <c r="B10" s="3514">
        <v>46918</v>
      </c>
      <c r="C10" s="3464" t="s">
        <v>3714</v>
      </c>
      <c r="D10" s="3464">
        <f>项目基本情况!G15</f>
        <v>4.2300000000000004</v>
      </c>
      <c r="E10" s="3464">
        <f>F6+F5+F4+M4</f>
        <v>16960985.84</v>
      </c>
      <c r="F10" s="3464">
        <f>'数据-汇总表'!E19</f>
        <v>11487.92</v>
      </c>
      <c r="G10" s="3464">
        <f>ROUND(E10/365/F10,2)</f>
        <v>4.04</v>
      </c>
      <c r="H10" s="3464">
        <f>ROUND(1-(2028-2015)/60,2)</f>
        <v>0.78</v>
      </c>
    </row>
    <row r="11" spans="1:14">
      <c r="B11" s="3514">
        <v>46752</v>
      </c>
      <c r="C11" s="3464" t="s">
        <v>3715</v>
      </c>
      <c r="D11" s="3464">
        <f>项目基本情况!H15</f>
        <v>3.78</v>
      </c>
      <c r="E11" s="3464">
        <f>F3</f>
        <v>29217702.5</v>
      </c>
      <c r="F11" s="3464">
        <f>'数据-汇总表'!E20</f>
        <v>25292.940000000002</v>
      </c>
      <c r="G11" s="3464">
        <f>ROUND(E11/365/F11,2)</f>
        <v>3.16</v>
      </c>
      <c r="H11" s="3464">
        <f>ROUND(1-(2027-2015)/60,2)</f>
        <v>0.8</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3" t="s">
        <v>949</v>
      </c>
      <c r="B1" s="3543"/>
      <c r="C1" s="3543"/>
      <c r="D1" s="3543"/>
    </row>
    <row r="2" spans="1:4" ht="18">
      <c r="A2" s="3544" t="s">
        <v>933</v>
      </c>
      <c r="B2" s="3544"/>
      <c r="C2" s="3544"/>
      <c r="D2" s="354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44" t="s">
        <v>939</v>
      </c>
      <c r="B6" s="3544"/>
      <c r="C6" s="3544"/>
      <c r="D6" s="354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5"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37" t="str">
        <f>IF(项目基本情况!B8="抵押","4.本次评估估价师所知悉的法定优先受偿款情况说明如下：","——")</f>
        <v>4.本次评估估价师所知悉的法定优先受偿款情况说明如下：</v>
      </c>
      <c r="B14" s="3542"/>
      <c r="C14" s="3542"/>
      <c r="D14" s="3542"/>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943</v>
      </c>
      <c r="B16" s="3539"/>
      <c r="C16" s="3539"/>
      <c r="D16" s="3539"/>
    </row>
    <row r="17" spans="1:4" ht="144" customHeight="1">
      <c r="A17" s="3539" t="s">
        <v>944</v>
      </c>
      <c r="B17" s="3539"/>
      <c r="C17" s="3539"/>
      <c r="D17" s="3539"/>
    </row>
    <row r="18" spans="1:4" ht="15.75" customHeight="1">
      <c r="A18" s="3537" t="str">
        <f>IF(项目基本情况!B8="抵押",结果表12号楼!K120,"——")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12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0" t="str">
        <f>IF(结果表12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0"/>
      <c r="C21" s="3540"/>
      <c r="D21" s="3540"/>
    </row>
    <row r="22" spans="1:4" ht="18.75" customHeight="1">
      <c r="A22" s="3541" t="s">
        <v>945</v>
      </c>
      <c r="B22" s="3541"/>
      <c r="C22" s="3541"/>
      <c r="D22" s="354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8">
        <v>42551</v>
      </c>
      <c r="D31" s="35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51" t="s">
        <v>956</v>
      </c>
      <c r="B15" s="3546" t="s">
        <v>109</v>
      </c>
      <c r="C15" s="3547"/>
    </row>
    <row r="16" spans="1:7" ht="13.5">
      <c r="A16" s="3552"/>
      <c r="B16" s="3546" t="s">
        <v>42</v>
      </c>
      <c r="C16" s="3547"/>
    </row>
    <row r="17" spans="1:3" ht="13.5">
      <c r="A17" s="3552"/>
      <c r="B17" s="3549" t="s">
        <v>957</v>
      </c>
      <c r="C17" s="1531" t="s">
        <v>956</v>
      </c>
    </row>
    <row r="18" spans="1:3" ht="13.5">
      <c r="A18" s="3552"/>
      <c r="B18" s="3549"/>
      <c r="C18" s="1531" t="s">
        <v>958</v>
      </c>
    </row>
    <row r="19" spans="1:3" ht="13.5">
      <c r="A19" s="3552"/>
      <c r="B19" s="3549"/>
      <c r="C19" s="1531" t="s">
        <v>959</v>
      </c>
    </row>
    <row r="20" spans="1:3" ht="13.5">
      <c r="A20" s="3553"/>
      <c r="B20" s="3548" t="s">
        <v>960</v>
      </c>
      <c r="C20" s="3547"/>
    </row>
    <row r="21" spans="1:3" ht="13.5">
      <c r="A21" s="1532" t="s">
        <v>961</v>
      </c>
      <c r="B21" s="1533"/>
      <c r="C21" s="1534"/>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31" t="s">
        <v>967</v>
      </c>
    </row>
    <row r="26" spans="1:3" ht="13.5">
      <c r="A26" s="3550"/>
      <c r="B26" s="3549"/>
      <c r="C26" s="1531" t="s">
        <v>968</v>
      </c>
    </row>
    <row r="27" spans="1:3" ht="13.5">
      <c r="A27" s="3550"/>
      <c r="B27" s="3549"/>
      <c r="C27" s="1531" t="s">
        <v>969</v>
      </c>
    </row>
    <row r="28" spans="1:3" ht="13.5">
      <c r="A28" s="3550"/>
      <c r="B28" s="3549"/>
      <c r="C28" s="1531" t="s">
        <v>970</v>
      </c>
    </row>
    <row r="29" spans="1:3" ht="13.5">
      <c r="A29" s="3550"/>
      <c r="B29" s="3549"/>
      <c r="C29" s="1531" t="s">
        <v>971</v>
      </c>
    </row>
    <row r="30" spans="1:3" ht="13.5">
      <c r="A30" s="3550"/>
      <c r="B30" s="3549"/>
      <c r="C30" s="1531" t="s">
        <v>972</v>
      </c>
    </row>
    <row r="31" spans="1:3" ht="13.5">
      <c r="A31" s="3550"/>
      <c r="B31" s="3549"/>
      <c r="C31" s="1531" t="s">
        <v>973</v>
      </c>
    </row>
    <row r="32" spans="1:3" ht="13.5">
      <c r="A32" s="3550"/>
      <c r="B32" s="3549"/>
      <c r="C32" s="1531" t="s">
        <v>974</v>
      </c>
    </row>
    <row r="33" spans="1:3" ht="13.5">
      <c r="A33" s="3550"/>
      <c r="B33" s="354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45450</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4" t="s">
        <v>2157</v>
      </c>
      <c r="B17" s="3554"/>
      <c r="C17" s="3554"/>
      <c r="D17" s="3554"/>
      <c r="E17" s="3554"/>
      <c r="F17" s="3554"/>
      <c r="G17" s="3554"/>
      <c r="H17" s="3554"/>
    </row>
    <row r="18" spans="1:8" ht="24" customHeight="1">
      <c r="A18" s="3555" t="s">
        <v>2158</v>
      </c>
      <c r="B18" s="3555"/>
      <c r="C18" s="3555"/>
      <c r="D18" s="2342"/>
      <c r="E18" s="3556" t="s">
        <v>2159</v>
      </c>
      <c r="F18" s="3555"/>
      <c r="G18" s="3555"/>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结果表12号楼</vt:lpstr>
      <vt:lpstr>成本法</vt:lpstr>
      <vt:lpstr>成本法 (元)</vt:lpstr>
      <vt:lpstr>假设开发法</vt:lpstr>
      <vt:lpstr>收益法12号楼</vt:lpstr>
      <vt:lpstr>收益法 (元)</vt:lpstr>
      <vt:lpstr>收益法-酒店模型</vt:lpstr>
      <vt:lpstr>收益法（汇总）</vt:lpstr>
      <vt:lpstr>比较法-住宅</vt:lpstr>
      <vt:lpstr>比较法-商业</vt:lpstr>
      <vt:lpstr>比较法-办公12号楼</vt:lpstr>
      <vt:lpstr>比较法-工业</vt:lpstr>
      <vt:lpstr>比较法-车位</vt:lpstr>
      <vt:lpstr>比较法-仓储</vt:lpstr>
      <vt:lpstr>土地比较法-住宅、综合</vt:lpstr>
      <vt:lpstr>土地比较法-工业</vt:lpstr>
      <vt:lpstr>结果表13号楼</vt:lpstr>
      <vt:lpstr>收益法13号楼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比较法-办公13号楼</vt:lpstr>
      <vt:lpstr>土地案例</vt:lpstr>
      <vt:lpstr>租赁情况</vt:lpstr>
      <vt:lpstr>'比较法-办公12号楼'!Print_Area</vt:lpstr>
      <vt:lpstr>'比较法-办公13号楼'!Print_Area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结果表12号楼!Print_Area</vt:lpstr>
      <vt:lpstr>结果表13号楼!Print_Area</vt:lpstr>
      <vt:lpstr>'收益法 (元)'!Print_Area</vt:lpstr>
      <vt:lpstr>'收益法（汇总）'!Print_Area</vt:lpstr>
      <vt:lpstr>收益法12号楼!Print_Area</vt:lpstr>
      <vt:lpstr>收益法13号楼!Print_Area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'比较法-办公13号楼'!办公层高</vt:lpstr>
      <vt:lpstr>办公层高</vt:lpstr>
      <vt:lpstr>'比较法-办公13号楼'!办公朝向</vt:lpstr>
      <vt:lpstr>办公朝向</vt:lpstr>
      <vt:lpstr>'比较法-办公13号楼'!办公道路级别</vt:lpstr>
      <vt:lpstr>办公道路级别</vt:lpstr>
      <vt:lpstr>'比较法-办公13号楼'!办公公共部分装修</vt:lpstr>
      <vt:lpstr>办公公共部分装修</vt:lpstr>
      <vt:lpstr>'比较法-办公13号楼'!办公基础设施水平</vt:lpstr>
      <vt:lpstr>办公基础设施水平</vt:lpstr>
      <vt:lpstr>办公集聚程度</vt:lpstr>
      <vt:lpstr>'比较法-办公13号楼'!办公建筑结构</vt:lpstr>
      <vt:lpstr>办公建筑结构</vt:lpstr>
      <vt:lpstr>'比较法-办公13号楼'!办公建筑类型</vt:lpstr>
      <vt:lpstr>办公建筑类型</vt:lpstr>
      <vt:lpstr>'比较法-办公13号楼'!办公交易情况</vt:lpstr>
      <vt:lpstr>办公交易情况</vt:lpstr>
      <vt:lpstr>'比较法-办公13号楼'!办公楼层</vt:lpstr>
      <vt:lpstr>办公楼层</vt:lpstr>
      <vt:lpstr>'比较法-办公13号楼'!办公内部装修</vt:lpstr>
      <vt:lpstr>办公内部装修</vt:lpstr>
      <vt:lpstr>'比较法-办公13号楼'!办公物业管理</vt:lpstr>
      <vt:lpstr>办公物业管理</vt:lpstr>
      <vt:lpstr>'比较法-办公13号楼'!办公用途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'比较法-办公13号楼'!写字楼等级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2024-06-07T06:21:31Z</dcterms:modified>
</cp:coreProperties>
</file>