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基准地价修正" sheetId="43"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5" i="9" l="1"/>
  <c r="E104" i="33"/>
  <c r="F104" i="33" s="1"/>
  <c r="G104" i="33" s="1"/>
  <c r="H104" i="33" s="1"/>
  <c r="I104" i="33" s="1"/>
  <c r="J104" i="33" s="1"/>
  <c r="K104" i="33" s="1"/>
  <c r="D104" i="33"/>
  <c r="C10" i="33"/>
  <c r="I36" i="33" l="1"/>
  <c r="G36" i="33"/>
  <c r="C36" i="33"/>
  <c r="I47" i="33" l="1"/>
  <c r="G47" i="33"/>
  <c r="E47" i="33"/>
  <c r="I33" i="33"/>
  <c r="G33" i="33"/>
  <c r="E33" i="33"/>
  <c r="C33" i="33"/>
  <c r="I10" i="33"/>
  <c r="G10" i="33"/>
  <c r="E10" i="33"/>
  <c r="E66" i="33"/>
  <c r="I4" i="81"/>
  <c r="I3" i="81"/>
  <c r="I2" i="81"/>
  <c r="G112" i="33"/>
  <c r="F112" i="33"/>
  <c r="E112" i="33"/>
  <c r="D112" i="33"/>
  <c r="C112" i="33"/>
  <c r="E89" i="33"/>
  <c r="D89" i="33"/>
  <c r="D66" i="33"/>
  <c r="I5" i="33"/>
  <c r="G5" i="33"/>
  <c r="E5" i="33"/>
  <c r="E4" i="81"/>
  <c r="E3" i="81"/>
  <c r="E2" i="81"/>
  <c r="C66" i="9" l="1"/>
  <c r="B26" i="31"/>
  <c r="B25" i="31"/>
  <c r="B24" i="31"/>
  <c r="I7" i="33"/>
  <c r="G7" i="33"/>
  <c r="E7" i="33"/>
  <c r="M24" i="9" l="1"/>
  <c r="M23" i="9"/>
  <c r="L25" i="9"/>
  <c r="L24" i="9"/>
  <c r="L23" i="9"/>
  <c r="L28" i="9" l="1"/>
  <c r="J52" i="15" l="1"/>
  <c r="J49" i="15"/>
  <c r="U3" i="43"/>
  <c r="U2" i="43"/>
  <c r="D37" i="43"/>
  <c r="B35" i="1"/>
  <c r="Y6" i="1"/>
  <c r="Y20" i="1"/>
  <c r="X22" i="1"/>
  <c r="Y22" i="1" s="1"/>
  <c r="X21" i="1"/>
  <c r="Y21" i="1" s="1"/>
  <c r="V23" i="1"/>
  <c r="V22" i="1"/>
  <c r="V21" i="1"/>
  <c r="V20" i="1"/>
  <c r="N6" i="1"/>
  <c r="N20" i="1"/>
  <c r="N22" i="1" s="1"/>
  <c r="Y23" i="1" l="1"/>
  <c r="X23" i="1" s="1"/>
  <c r="U6" i="1" s="1"/>
  <c r="G19" i="6"/>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D26" i="71" s="1"/>
  <c r="F28" i="71"/>
  <c r="F27" i="71" s="1"/>
  <c r="F26" i="71"/>
  <c r="AB26" i="71"/>
  <c r="AB28" i="71"/>
  <c r="E28" i="71"/>
  <c r="E27" i="71"/>
  <c r="E26" i="71" s="1"/>
  <c r="AA3" i="71"/>
  <c r="AA25" i="71"/>
  <c r="AA26" i="71"/>
  <c r="AA27" i="71"/>
  <c r="AA28" i="71"/>
  <c r="D28" i="71"/>
  <c r="U28" i="71"/>
  <c r="C66" i="71"/>
  <c r="O67" i="71"/>
  <c r="D67" i="71"/>
  <c r="C64" i="71"/>
  <c r="D63" i="71"/>
  <c r="D83" i="71"/>
  <c r="C82" i="71"/>
  <c r="D82" i="71"/>
  <c r="D75" i="71"/>
  <c r="C74" i="71"/>
  <c r="D74" i="71" s="1"/>
  <c r="N65" i="71"/>
  <c r="D86" i="71"/>
  <c r="D79" i="71"/>
  <c r="C78" i="71"/>
  <c r="D78" i="71" s="1"/>
  <c r="D71" i="71"/>
  <c r="C70" i="71"/>
  <c r="D70" i="71"/>
  <c r="C60" i="71"/>
  <c r="D59" i="71"/>
  <c r="P67" i="71"/>
  <c r="E66" i="71"/>
  <c r="P65" i="71" s="1"/>
  <c r="C52" i="71"/>
  <c r="D51" i="71"/>
  <c r="C44" i="71"/>
  <c r="D43" i="71"/>
  <c r="C40" i="71"/>
  <c r="D39" i="71"/>
  <c r="C36" i="71"/>
  <c r="D35" i="71"/>
  <c r="C32" i="71"/>
  <c r="D31" i="71"/>
  <c r="D27" i="71"/>
  <c r="V28" i="71"/>
  <c r="P66" i="71"/>
  <c r="O66" i="71"/>
  <c r="D66" i="71"/>
  <c r="O65" i="71"/>
  <c r="T32" i="71"/>
  <c r="D32" i="71"/>
  <c r="T36" i="71"/>
  <c r="D36" i="71"/>
  <c r="T40" i="71"/>
  <c r="D40" i="71"/>
  <c r="T44" i="71"/>
  <c r="D44"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S37" i="33" s="1"/>
  <c r="D111" i="33"/>
  <c r="E111" i="33" s="1"/>
  <c r="F111" i="33" s="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AC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F36" i="34"/>
  <c r="J35" i="34"/>
  <c r="U34" i="34"/>
  <c r="H39" i="33"/>
  <c r="AB39" i="33" s="1"/>
  <c r="F26" i="33"/>
  <c r="AA26" i="33" s="1"/>
  <c r="U35" i="33"/>
  <c r="S40"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41" i="33"/>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F33" i="35"/>
  <c r="S33" i="35"/>
  <c r="J33" i="35"/>
  <c r="AC33" i="35" s="1"/>
  <c r="F30" i="35"/>
  <c r="S30" i="35" s="1"/>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U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W38" i="33"/>
  <c r="H41" i="33"/>
  <c r="AB41" i="33" s="1"/>
  <c r="G108" i="33"/>
  <c r="H108" i="33" s="1"/>
  <c r="I108" i="33" s="1"/>
  <c r="J108" i="33" s="1"/>
  <c r="K108" i="33" s="1"/>
  <c r="L108" i="33" s="1"/>
  <c r="M108" i="33" s="1"/>
  <c r="J35" i="33"/>
  <c r="AA37" i="33"/>
  <c r="S39" i="33"/>
  <c r="F101" i="33"/>
  <c r="G101" i="33"/>
  <c r="H101" i="33" s="1"/>
  <c r="I101" i="33" s="1"/>
  <c r="J101" i="33" s="1"/>
  <c r="K101" i="33" s="1"/>
  <c r="L101" i="33" s="1"/>
  <c r="M101" i="33" s="1"/>
  <c r="J32" i="33"/>
  <c r="W32" i="33" s="1"/>
  <c r="S46" i="33"/>
  <c r="W43" i="33"/>
  <c r="F87" i="33"/>
  <c r="H25" i="33"/>
  <c r="U25" i="33" s="1"/>
  <c r="F25" i="33"/>
  <c r="J23" i="33"/>
  <c r="W23" i="33" s="1"/>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S33" i="33"/>
  <c r="AB34" i="33"/>
  <c r="U44" i="33"/>
  <c r="AB44" i="33"/>
  <c r="S30" i="33"/>
  <c r="AA30" i="33"/>
  <c r="AC14" i="33"/>
  <c r="W14" i="33"/>
  <c r="AC30" i="33"/>
  <c r="W30" i="33"/>
  <c r="S31" i="33"/>
  <c r="AA31" i="33"/>
  <c r="W13" i="33"/>
  <c r="AC13" i="33"/>
  <c r="S11"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W35" i="33"/>
  <c r="AC35" i="33"/>
  <c r="S25" i="33"/>
  <c r="AA25" i="33"/>
  <c r="G87" i="33"/>
  <c r="H87" i="33" s="1"/>
  <c r="I87" i="33"/>
  <c r="J87" i="33" s="1"/>
  <c r="K87" i="33" s="1"/>
  <c r="L87" i="33" s="1"/>
  <c r="M87" i="33" s="1"/>
  <c r="J25" i="33"/>
  <c r="W25" i="33" s="1"/>
  <c r="F23" i="33"/>
  <c r="AA23" i="33" s="1"/>
  <c r="G85" i="33"/>
  <c r="AC23" i="33"/>
  <c r="H19" i="33"/>
  <c r="U19" i="33" s="1"/>
  <c r="G81" i="33"/>
  <c r="G79" i="33"/>
  <c r="H17" i="33"/>
  <c r="AB17" i="33" s="1"/>
  <c r="F17" i="33"/>
  <c r="AA17" i="33" s="1"/>
  <c r="W17" i="33"/>
  <c r="S37" i="21"/>
  <c r="AA23" i="21"/>
  <c r="AB15" i="21"/>
  <c r="J23" i="21"/>
  <c r="F85" i="21"/>
  <c r="G85" i="21" s="1"/>
  <c r="H23" i="21"/>
  <c r="S13" i="21"/>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67"/>
  <c r="F26" i="67"/>
  <c r="M22" i="15"/>
  <c r="F8" i="15"/>
  <c r="M23" i="15"/>
  <c r="F7" i="67"/>
  <c r="F5" i="73"/>
  <c r="B13" i="76"/>
  <c r="F9" i="15"/>
  <c r="F26" i="15"/>
  <c r="E9" i="76"/>
  <c r="F43" i="67"/>
  <c r="B11" i="76"/>
  <c r="M8" i="67"/>
  <c r="M6" i="67"/>
  <c r="M24" i="15"/>
  <c r="F3" i="73"/>
  <c r="B9" i="76"/>
  <c r="D5" i="73"/>
  <c r="E2" i="69"/>
  <c r="E13" i="76"/>
  <c r="L47" i="15"/>
  <c r="L48" i="15"/>
  <c r="F7" i="15"/>
  <c r="F42" i="67"/>
  <c r="F8" i="67"/>
  <c r="B8" i="76"/>
  <c r="F20" i="31"/>
  <c r="M9" i="67"/>
  <c r="F37" i="67"/>
  <c r="F6" i="15"/>
  <c r="D4" i="73"/>
  <c r="D7" i="73"/>
  <c r="M26" i="67"/>
  <c r="E7" i="76"/>
  <c r="F13" i="67"/>
  <c r="F38" i="15"/>
  <c r="F16" i="67"/>
  <c r="M29" i="15"/>
  <c r="M8" i="15"/>
  <c r="F36" i="15"/>
  <c r="F42" i="15"/>
  <c r="M26" i="15"/>
  <c r="E12" i="76"/>
  <c r="C76" i="67"/>
  <c r="F6" i="73"/>
  <c r="M22" i="67"/>
  <c r="F7" i="73"/>
  <c r="J15" i="15"/>
  <c r="F16" i="15"/>
  <c r="F40" i="15"/>
  <c r="F40" i="67"/>
  <c r="M24" i="67"/>
  <c r="E10" i="76"/>
  <c r="AO13" i="1"/>
  <c r="L48" i="67"/>
  <c r="D6" i="73"/>
  <c r="B7" i="76"/>
  <c r="C76" i="15"/>
  <c r="F13" i="15"/>
  <c r="D3" i="73"/>
  <c r="F36" i="67"/>
  <c r="M28" i="15"/>
  <c r="J15" i="67"/>
  <c r="E8" i="76"/>
  <c r="B12" i="76"/>
  <c r="E11" i="76"/>
  <c r="M28" i="67"/>
  <c r="B10" i="76"/>
  <c r="E2" i="68"/>
  <c r="F6" i="67"/>
  <c r="F4" i="73"/>
  <c r="M23" i="67"/>
  <c r="L47" i="67"/>
  <c r="M29" i="67"/>
  <c r="F43" i="15"/>
  <c r="F38" i="67"/>
  <c r="M9" i="15"/>
  <c r="F37" i="15"/>
  <c r="M6" i="15"/>
  <c r="D53" i="43" l="1"/>
  <c r="D55" i="43"/>
  <c r="E50" i="43" s="1"/>
  <c r="B48" i="43" s="1"/>
  <c r="D50" i="43"/>
  <c r="D56" i="43"/>
  <c r="D52" i="43"/>
  <c r="D6" i="52"/>
  <c r="U43" i="33"/>
  <c r="AC37" i="33"/>
  <c r="G111" i="33"/>
  <c r="H111" i="33" s="1"/>
  <c r="I111" i="33" s="1"/>
  <c r="J111" i="33" s="1"/>
  <c r="K111" i="33" s="1"/>
  <c r="L111" i="33" s="1"/>
  <c r="M111" i="33" s="1"/>
  <c r="J36" i="33"/>
  <c r="W36" i="33" s="1"/>
  <c r="F36" i="33"/>
  <c r="AA36" i="33" s="1"/>
  <c r="H36" i="33"/>
  <c r="U36" i="33" s="1"/>
  <c r="AA34" i="33"/>
  <c r="H27" i="33"/>
  <c r="U27" i="33" s="1"/>
  <c r="F27" i="33"/>
  <c r="AA27" i="33" s="1"/>
  <c r="F91" i="33"/>
  <c r="G91" i="33" s="1"/>
  <c r="H91" i="33" s="1"/>
  <c r="I91" i="33" s="1"/>
  <c r="J91" i="33" s="1"/>
  <c r="K91" i="33" s="1"/>
  <c r="L91" i="33" s="1"/>
  <c r="M91" i="33" s="1"/>
  <c r="J27" i="33"/>
  <c r="AC27" i="33" s="1"/>
  <c r="S23" i="33"/>
  <c r="AC41" i="33"/>
  <c r="S43" i="33"/>
  <c r="W39" i="33"/>
  <c r="U37" i="33"/>
  <c r="AC34" i="33"/>
  <c r="AC32" i="33"/>
  <c r="S32" i="33"/>
  <c r="AC26" i="33"/>
  <c r="S17" i="33"/>
  <c r="AA19" i="33"/>
  <c r="AB23" i="33"/>
  <c r="AC21" i="33"/>
  <c r="AB19" i="33"/>
  <c r="U17" i="33"/>
  <c r="U15" i="33"/>
  <c r="W42" i="33"/>
  <c r="S42" i="33"/>
  <c r="AB42" i="33"/>
  <c r="W33" i="33"/>
  <c r="U38" i="33"/>
  <c r="S38" i="33"/>
  <c r="U32" i="33"/>
  <c r="S27" i="33"/>
  <c r="AB27" i="33"/>
  <c r="W27" i="33"/>
  <c r="S26" i="33"/>
  <c r="AB26" i="33"/>
  <c r="AC25" i="33"/>
  <c r="AB25" i="33"/>
  <c r="AB36" i="33"/>
  <c r="S36" i="33"/>
  <c r="F54" i="9"/>
  <c r="F28" i="15"/>
  <c r="F32" i="15"/>
  <c r="F60" i="15" s="1"/>
  <c r="F32" i="67"/>
  <c r="F60" i="67" s="1"/>
  <c r="F52" i="9"/>
  <c r="F28" i="67"/>
  <c r="C28" i="67" s="1"/>
  <c r="F30" i="68"/>
  <c r="F48" i="68" s="1"/>
  <c r="G14" i="3"/>
  <c r="G5" i="3" s="1"/>
  <c r="B3" i="3" s="1"/>
  <c r="E106" i="3" s="1"/>
  <c r="AZ14" i="3"/>
  <c r="BL15" i="3"/>
  <c r="AZ15" i="3" s="1"/>
  <c r="E19" i="71"/>
  <c r="E18" i="71" s="1"/>
  <c r="E17" i="71" s="1"/>
  <c r="E16" i="71" s="1"/>
  <c r="V20" i="71"/>
  <c r="D17" i="71"/>
  <c r="C16" i="71"/>
  <c r="D16" i="53"/>
  <c r="B34" i="72" s="1"/>
  <c r="AZ521" i="3"/>
  <c r="AZ587" i="3"/>
  <c r="G28" i="6"/>
  <c r="E28" i="6" s="1"/>
  <c r="K14" i="1" s="1"/>
  <c r="AA45" i="33"/>
  <c r="S45" i="33"/>
  <c r="AA44" i="34"/>
  <c r="S44" i="34"/>
  <c r="U23" i="34"/>
  <c r="AB23" i="34"/>
  <c r="AB33" i="35"/>
  <c r="U33" i="35"/>
  <c r="AB23" i="40"/>
  <c r="U23" i="40"/>
  <c r="S39" i="37"/>
  <c r="AA39" i="37"/>
  <c r="AC36" i="39"/>
  <c r="W36" i="39"/>
  <c r="W45" i="39"/>
  <c r="AC45" i="39"/>
  <c r="AA34" i="21"/>
  <c r="S34" i="21"/>
  <c r="BA585" i="3"/>
  <c r="AZ585" i="3" s="1"/>
  <c r="B94" i="43"/>
  <c r="B73" i="43"/>
  <c r="B99" i="43"/>
  <c r="B76" i="43"/>
  <c r="C27" i="39"/>
  <c r="U12" i="33"/>
  <c r="AB12" i="33"/>
  <c r="AB33" i="33"/>
  <c r="U33" i="33"/>
  <c r="J9" i="34"/>
  <c r="F9" i="34"/>
  <c r="AA9" i="34" s="1"/>
  <c r="AC28" i="35"/>
  <c r="W28" i="35"/>
  <c r="J12" i="34"/>
  <c r="F12" i="34"/>
  <c r="J11" i="35"/>
  <c r="F11" i="35"/>
  <c r="AZ404" i="3"/>
  <c r="BL5" i="3"/>
  <c r="AA39" i="34"/>
  <c r="AC11" i="39"/>
  <c r="AC12" i="37"/>
  <c r="AB45" i="33"/>
  <c r="AB46" i="34"/>
  <c r="W13" i="36"/>
  <c r="AA14" i="33"/>
  <c r="AA44" i="33"/>
  <c r="S13" i="35"/>
  <c r="AA13" i="35"/>
  <c r="AB46" i="33"/>
  <c r="U46" i="33"/>
  <c r="W30" i="34"/>
  <c r="AC30" i="34"/>
  <c r="AC29" i="33"/>
  <c r="W29" i="33"/>
  <c r="S15" i="34"/>
  <c r="S29" i="35"/>
  <c r="AA29" i="35"/>
  <c r="W11" i="40"/>
  <c r="AC11" i="40"/>
  <c r="AB36" i="39"/>
  <c r="U36" i="39"/>
  <c r="BL587" i="3"/>
  <c r="F12" i="21"/>
  <c r="J12" i="21"/>
  <c r="B72" i="43"/>
  <c r="C15" i="39"/>
  <c r="B101" i="43"/>
  <c r="B79" i="43"/>
  <c r="B97" i="43"/>
  <c r="B75" i="43"/>
  <c r="AB40" i="33"/>
  <c r="U40" i="33"/>
  <c r="H28" i="33"/>
  <c r="F28" i="33"/>
  <c r="J28" i="33"/>
  <c r="H9" i="34"/>
  <c r="AC16" i="36"/>
  <c r="S44" i="39"/>
  <c r="S34" i="39"/>
  <c r="U40" i="40"/>
  <c r="U34" i="40"/>
  <c r="S40" i="40"/>
  <c r="S34" i="40"/>
  <c r="AC9" i="40"/>
  <c r="AC40" i="40"/>
  <c r="W8" i="40"/>
  <c r="S31" i="35"/>
  <c r="J33" i="36"/>
  <c r="AC33" i="36" s="1"/>
  <c r="W28" i="36"/>
  <c r="U30" i="37"/>
  <c r="AC31" i="35"/>
  <c r="F34" i="35"/>
  <c r="H34" i="35"/>
  <c r="J36" i="35"/>
  <c r="F23" i="36"/>
  <c r="H23" i="36"/>
  <c r="AZ439" i="3"/>
  <c r="AZ444" i="3"/>
  <c r="AZ475" i="3"/>
  <c r="AZ489" i="3"/>
  <c r="AZ316" i="3"/>
  <c r="AZ332" i="3"/>
  <c r="AZ220" i="3"/>
  <c r="AZ267" i="3"/>
  <c r="AZ300" i="3"/>
  <c r="AZ126" i="3"/>
  <c r="AZ406" i="3"/>
  <c r="AZ410" i="3"/>
  <c r="AZ415" i="3"/>
  <c r="AZ420" i="3"/>
  <c r="AZ426" i="3"/>
  <c r="AZ431" i="3"/>
  <c r="AZ448" i="3"/>
  <c r="AZ452" i="3"/>
  <c r="AZ461" i="3"/>
  <c r="AZ463" i="3"/>
  <c r="AZ468" i="3"/>
  <c r="AZ479" i="3"/>
  <c r="AZ485" i="3"/>
  <c r="AZ385" i="3"/>
  <c r="AZ210" i="3"/>
  <c r="AZ225" i="3"/>
  <c r="AZ239" i="3"/>
  <c r="AZ255" i="3"/>
  <c r="AZ153" i="3"/>
  <c r="AZ169" i="3"/>
  <c r="AZ185" i="3"/>
  <c r="AZ207" i="3"/>
  <c r="AZ25" i="3"/>
  <c r="AZ30" i="3"/>
  <c r="AZ40" i="3"/>
  <c r="AZ56" i="3"/>
  <c r="AZ60" i="3"/>
  <c r="AZ73" i="3"/>
  <c r="AZ78" i="3"/>
  <c r="AZ87" i="3"/>
  <c r="AZ91" i="3"/>
  <c r="AZ95" i="3"/>
  <c r="AZ98" i="3"/>
  <c r="AZ100" i="3"/>
  <c r="AZ104" i="3"/>
  <c r="AZ108" i="3"/>
  <c r="U18" i="36"/>
  <c r="D87" i="71"/>
  <c r="C55" i="71"/>
  <c r="D54" i="71"/>
  <c r="X9" i="71"/>
  <c r="X10" i="71"/>
  <c r="AB9" i="71"/>
  <c r="AB10" i="71"/>
  <c r="X22" i="71"/>
  <c r="AA24" i="71"/>
  <c r="AA23" i="71"/>
  <c r="AA22" i="71"/>
  <c r="X21" i="71"/>
  <c r="Y18" i="71"/>
  <c r="Z18" i="71" s="1"/>
  <c r="X17" i="71"/>
  <c r="Y17" i="71"/>
  <c r="Z17" i="71" s="1"/>
  <c r="AB18" i="71"/>
  <c r="Y14" i="71"/>
  <c r="Z14" i="71" s="1"/>
  <c r="AA17" i="71"/>
  <c r="AB27" i="71"/>
  <c r="S28" i="71"/>
  <c r="AA29" i="71"/>
  <c r="X39" i="71"/>
  <c r="Y9" i="71"/>
  <c r="Z9" i="71" s="1"/>
  <c r="Y10" i="71"/>
  <c r="Z10" i="71" s="1"/>
  <c r="AA9" i="71"/>
  <c r="AA10" i="71"/>
  <c r="AB39" i="71"/>
  <c r="AB24" i="71"/>
  <c r="Y21" i="71"/>
  <c r="Z21" i="71" s="1"/>
  <c r="AB23" i="71"/>
  <c r="AB21" i="71"/>
  <c r="AA21" i="71"/>
  <c r="X18" i="71"/>
  <c r="AA18" i="71"/>
  <c r="X14" i="71"/>
  <c r="AA11" i="71"/>
  <c r="AB17" i="71"/>
  <c r="F67" i="71"/>
  <c r="X24" i="71"/>
  <c r="Y24" i="71"/>
  <c r="Z24" i="71" s="1"/>
  <c r="AB15" i="71"/>
  <c r="AB12" i="71"/>
  <c r="AB14" i="71"/>
  <c r="AA13" i="71"/>
  <c r="X11" i="71"/>
  <c r="Y12" i="71"/>
  <c r="Z12" i="71" s="1"/>
  <c r="Y13" i="71"/>
  <c r="Z13" i="71" s="1"/>
  <c r="Y23" i="71"/>
  <c r="Z23" i="71" s="1"/>
  <c r="Y22" i="71"/>
  <c r="Z22" i="71" s="1"/>
  <c r="X15" i="71"/>
  <c r="AA15" i="71"/>
  <c r="AB11" i="71"/>
  <c r="AB13" i="71"/>
  <c r="AA12" i="71"/>
  <c r="AA14" i="71"/>
  <c r="X12" i="71"/>
  <c r="X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77" i="3"/>
  <c r="E334" i="3"/>
  <c r="E572" i="3"/>
  <c r="E30" i="3"/>
  <c r="E109" i="3"/>
  <c r="E480"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J7" i="37" l="1"/>
  <c r="H7" i="36"/>
  <c r="E441" i="3"/>
  <c r="E29" i="3"/>
  <c r="E44" i="3"/>
  <c r="AM6" i="3"/>
  <c r="E384" i="3"/>
  <c r="E317" i="3"/>
  <c r="E331" i="3"/>
  <c r="E273" i="3"/>
  <c r="E211" i="3"/>
  <c r="E182" i="3"/>
  <c r="E70" i="3"/>
  <c r="E28" i="3"/>
  <c r="E489" i="3"/>
  <c r="E531" i="3"/>
  <c r="E557" i="3"/>
  <c r="E345" i="3"/>
  <c r="E400" i="3"/>
  <c r="E485" i="3"/>
  <c r="AO6" i="3"/>
  <c r="Z6" i="3"/>
  <c r="E327" i="3"/>
  <c r="E204" i="3"/>
  <c r="E89" i="3"/>
  <c r="E368" i="3"/>
  <c r="E227" i="3"/>
  <c r="E74" i="3"/>
  <c r="E362" i="3"/>
  <c r="E315" i="3"/>
  <c r="E214" i="3"/>
  <c r="E171" i="3"/>
  <c r="E14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K16" i="1"/>
  <c r="AZ5" i="3"/>
  <c r="B15" i="71"/>
  <c r="B14" i="71" s="1"/>
  <c r="B13" i="71" s="1"/>
  <c r="B12" i="71" s="1"/>
  <c r="S16" i="71"/>
  <c r="F66" i="71"/>
  <c r="Q67" i="71"/>
  <c r="C56" i="71"/>
  <c r="D55" i="71"/>
  <c r="AA23" i="36"/>
  <c r="S23" i="36"/>
  <c r="U34" i="35"/>
  <c r="AB34" i="35"/>
  <c r="W28" i="33"/>
  <c r="AC28" i="33"/>
  <c r="U28" i="33"/>
  <c r="AB28" i="33"/>
  <c r="S12" i="21"/>
  <c r="AA12" i="21"/>
  <c r="S11" i="35"/>
  <c r="AA11" i="35"/>
  <c r="S12" i="34"/>
  <c r="AA12" i="34"/>
  <c r="C15" i="71"/>
  <c r="T16" i="71"/>
  <c r="AB23" i="36"/>
  <c r="U23" i="36"/>
  <c r="W36" i="35"/>
  <c r="AC36" i="35"/>
  <c r="S34" i="35"/>
  <c r="AA34" i="35"/>
  <c r="U9" i="34"/>
  <c r="AB9" i="34"/>
  <c r="AA28" i="33"/>
  <c r="S28" i="33"/>
  <c r="AC12" i="21"/>
  <c r="W12"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165" i="3"/>
  <c r="E244" i="3"/>
  <c r="E149"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W11" i="35"/>
  <c r="AC11" i="35"/>
  <c r="W12" i="34"/>
  <c r="AC12" i="34"/>
  <c r="AC9" i="34"/>
  <c r="W9" i="34"/>
  <c r="BA5" i="3"/>
  <c r="E27" i="6" s="1"/>
  <c r="K26" i="6" s="1"/>
  <c r="M26" i="6" s="1"/>
  <c r="I26" i="6" s="1"/>
  <c r="S26" i="6" s="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11" i="71" l="1"/>
  <c r="E10" i="71" s="1"/>
  <c r="E9" i="71" s="1"/>
  <c r="E8" i="71" s="1"/>
  <c r="E7" i="71" s="1"/>
  <c r="E6" i="71" s="1"/>
  <c r="E5" i="71" s="1"/>
  <c r="V12" i="71"/>
  <c r="E65" i="39"/>
  <c r="C14" i="71"/>
  <c r="D15" i="71"/>
  <c r="T56" i="71"/>
  <c r="D56"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14" i="74" l="1"/>
  <c r="B2" i="74" s="1"/>
  <c r="D7" i="74"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15"/>
  <c r="S24" i="31" l="1"/>
  <c r="R26" i="31"/>
  <c r="S26" i="31" s="1"/>
  <c r="R25" i="31"/>
  <c r="S25" i="3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C30" i="12" s="1"/>
  <c r="C28" i="12" s="1"/>
  <c r="S22" i="31"/>
  <c r="F26" i="43"/>
  <c r="H26" i="43"/>
  <c r="E26" i="43"/>
  <c r="J26" i="43"/>
  <c r="N94" i="46"/>
  <c r="G26" i="43"/>
  <c r="Z7" i="43"/>
  <c r="N370" i="46"/>
  <c r="B116" i="43"/>
  <c r="F7" i="21"/>
  <c r="S7" i="21"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J7" i="35"/>
  <c r="AC7" i="21"/>
  <c r="V48" i="21" s="1"/>
  <c r="I48" i="21" s="1"/>
  <c r="W7" i="21"/>
  <c r="C27" i="12" l="1"/>
  <c r="C25" i="12" s="1"/>
  <c r="R22" i="31"/>
  <c r="B20" i="31"/>
  <c r="B21" i="3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116" i="43" l="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6"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6" i="76"/>
  <c r="L51" i="67"/>
  <c r="Q67" i="67" l="1"/>
  <c r="L57" i="67"/>
  <c r="L60" i="67" s="1"/>
  <c r="L46" i="67" s="1"/>
  <c r="D2" i="67" s="1"/>
  <c r="B2" i="67" s="1"/>
  <c r="C7" i="68"/>
  <c r="C5" i="68" s="1"/>
  <c r="B2" i="76"/>
  <c r="B3" i="76" s="1"/>
  <c r="B3" i="43"/>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Q57" i="67" l="1"/>
  <c r="Q66" i="67"/>
  <c r="Q75" i="67" s="1"/>
  <c r="C23" i="68"/>
  <c r="C20" i="68"/>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10" i="1"/>
  <c r="AO9" i="1"/>
  <c r="AO8" i="1"/>
  <c r="AO6" i="1"/>
  <c r="AO7" i="1"/>
  <c r="C28" i="68" l="1"/>
  <c r="C27" i="68" s="1"/>
  <c r="C25" i="68"/>
  <c r="C22"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68" l="1"/>
  <c r="C52" i="68"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C42" i="40"/>
  <c r="C43" i="40"/>
  <c r="E47" i="40"/>
  <c r="F47" i="40" s="1"/>
  <c r="E46" i="40"/>
  <c r="F46" i="40" s="1"/>
  <c r="I47" i="40"/>
  <c r="J47" i="40" s="1"/>
  <c r="C19" i="9"/>
  <c r="D19" i="9"/>
  <c r="D102" i="9" l="1"/>
  <c r="D21" i="9"/>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D20" i="9"/>
  <c r="D34" i="9"/>
  <c r="D103" i="9" l="1"/>
  <c r="G21" i="9"/>
  <c r="N23" i="9"/>
  <c r="C103" i="9"/>
  <c r="G20" i="9"/>
  <c r="N24" i="9" l="1"/>
  <c r="N25" i="9"/>
  <c r="C32" i="9"/>
  <c r="C35" i="9" s="1"/>
  <c r="C34" i="9" s="1"/>
  <c r="D118" i="9" s="1"/>
  <c r="D119" i="9" s="1"/>
  <c r="D5" i="52" s="1"/>
  <c r="B49" i="72" s="1"/>
  <c r="N28" i="9" l="1"/>
  <c r="F118" i="9"/>
  <c r="F4" i="52" s="1"/>
  <c r="B51" i="72" s="1"/>
  <c r="H118" i="9"/>
  <c r="D4" i="52"/>
  <c r="B47" i="72" s="1"/>
  <c r="C104" i="9" l="1"/>
  <c r="D14" i="74"/>
  <c r="H119" i="9"/>
  <c r="H5" i="52" s="1"/>
  <c r="I118" i="9"/>
  <c r="I4" i="52" s="1"/>
  <c r="F119" i="9"/>
  <c r="F5" i="52" s="1"/>
  <c r="B53" i="72" s="1"/>
  <c r="G118" i="9"/>
  <c r="G4" i="52" s="1"/>
  <c r="B52" i="72" s="1"/>
  <c r="H4" i="52"/>
  <c r="H101" i="9"/>
  <c r="M48" i="9" s="1"/>
  <c r="F14" i="74" l="1"/>
  <c r="E14" i="74"/>
  <c r="B5" i="74"/>
  <c r="D5" i="74" s="1"/>
  <c r="D5" i="53"/>
  <c r="B20" i="72" s="1"/>
  <c r="C105" i="9"/>
  <c r="D45" i="9"/>
  <c r="D53" i="9" s="1"/>
  <c r="H102" i="9"/>
  <c r="D7" i="53" s="1"/>
  <c r="B21" i="72" s="1"/>
  <c r="H107" i="9"/>
  <c r="M49" i="9" s="1"/>
  <c r="E118" i="9"/>
  <c r="E4" i="52" s="1"/>
  <c r="B48" i="72" s="1"/>
  <c r="C5" i="74" l="1"/>
  <c r="D13" i="53"/>
  <c r="B30" i="72" s="1"/>
  <c r="D6" i="53"/>
  <c r="B22" i="72" s="1"/>
  <c r="C85" i="9"/>
  <c r="D52" i="9"/>
  <c r="C93" i="9"/>
  <c r="C86" i="9" s="1"/>
  <c r="C95" i="9" s="1"/>
  <c r="C96" i="9" s="1"/>
  <c r="E96" i="9" s="1"/>
  <c r="E97" i="9" s="1"/>
  <c r="C78" i="9"/>
  <c r="C73" i="9" s="1"/>
  <c r="D55" i="9"/>
  <c r="M53" i="9" s="1"/>
  <c r="C72" i="9"/>
  <c r="C64" i="9"/>
  <c r="C63" i="9" s="1"/>
  <c r="C67" i="9" s="1"/>
  <c r="D59" i="9" s="1"/>
  <c r="M55" i="9" s="1"/>
  <c r="H108" i="9"/>
  <c r="D15" i="53" s="1"/>
  <c r="B31" i="72" s="1"/>
  <c r="D122" i="9"/>
  <c r="L68" i="9"/>
  <c r="M68" i="9" s="1"/>
  <c r="L64" i="9"/>
  <c r="M64" i="9" s="1"/>
  <c r="L66" i="9"/>
  <c r="M66" i="9" s="1"/>
  <c r="L67" i="9"/>
  <c r="M67" i="9" s="1"/>
  <c r="L65" i="9"/>
  <c r="M65" i="9" s="1"/>
  <c r="L63" i="9"/>
  <c r="M63" i="9" s="1"/>
  <c r="D8" i="52" l="1"/>
  <c r="G14" i="74"/>
  <c r="B6" i="74" s="1"/>
  <c r="D6" i="74" s="1"/>
  <c r="C79" i="9"/>
  <c r="C80" i="9" s="1"/>
  <c r="E80" i="9" s="1"/>
  <c r="E81" i="9" s="1"/>
  <c r="C6" i="74"/>
  <c r="D14" i="53"/>
  <c r="B32" i="72" s="1"/>
  <c r="D123" i="9"/>
  <c r="D9" i="52" s="1"/>
  <c r="C68" i="9"/>
  <c r="D54" i="9" s="1"/>
  <c r="D48" i="9" s="1"/>
  <c r="M52" i="9" s="1"/>
  <c r="M69" i="9"/>
  <c r="N69" i="9" s="1"/>
  <c r="C81" i="9"/>
  <c r="C97" i="9"/>
  <c r="D58" i="9" l="1"/>
  <c r="D56" i="9" s="1"/>
  <c r="M54" i="9" s="1"/>
  <c r="N57" i="9" s="1"/>
  <c r="P57" i="9" s="1"/>
  <c r="N59" i="9" l="1"/>
  <c r="N61" i="9" s="1"/>
  <c r="H112" i="9" s="1"/>
  <c r="N58" i="9"/>
  <c r="N60" i="9" l="1"/>
  <c r="H111" i="9"/>
  <c r="D19" i="53" s="1"/>
  <c r="D21" i="53"/>
  <c r="B39" i="72" s="1"/>
  <c r="D126" i="9" l="1"/>
  <c r="B38" i="72"/>
  <c r="D20" i="53"/>
  <c r="B40" i="72" s="1"/>
  <c r="D12" i="52" l="1"/>
  <c r="I14" i="74"/>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<sst xmlns="http://schemas.openxmlformats.org/spreadsheetml/2006/main" count="7986" uniqueCount="3499">
  <si>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</si>
  <si>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</si>
  <si>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</si>
  <si>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</si>
  <si>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</si>
  <si>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</si>
  <si>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</si>
  <si>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</si>
  <si>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</si>
  <si>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</si>
  <si>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</si>
  <si>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</si>
  <si>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</si>
  <si>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</si>
  <si>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</si>
  <si>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</si>
  <si>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</si>
  <si>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</si>
  <si>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</si>
  <si>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</si>
  <si>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</si>
  <si>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</si>
  <si>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</si>
  <si>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</si>
  <si>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</si>
  <si>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</si>
  <si>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</si>
  <si>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</si>
  <si>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</si>
  <si>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</si>
  <si>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</si>
  <si>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</si>
  <si>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</si>
  <si>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</si>
  <si>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</si>
  <si>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</si>
  <si>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</si>
  <si>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</si>
  <si>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</si>
  <si>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</si>
  <si>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</si>
  <si>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</si>
  <si>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</si>
  <si>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</si>
  <si>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</si>
  <si>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</si>
  <si>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</si>
  <si>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</si>
  <si>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</si>
  <si>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</si>
  <si>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</si>
  <si>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</si>
  <si>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</si>
  <si>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</si>
  <si>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</si>
  <si>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</si>
  <si>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</si>
  <si>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</si>
  <si>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</si>
  <si>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</si>
  <si>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</si>
  <si>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</si>
  <si>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</si>
  <si>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</si>
  <si>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</si>
  <si>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</si>
  <si>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</si>
  <si>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</si>
  <si>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</si>
  <si>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</si>
  <si>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</si>
  <si>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</si>
  <si>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</si>
  <si>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</si>
  <si>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</si>
  <si>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</si>
  <si>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</si>
  <si>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</si>
  <si>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</si>
  <si>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</si>
  <si>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</si>
  <si>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</si>
  <si>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</si>
  <si>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</si>
  <si>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</si>
  <si>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</si>
  <si>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</si>
  <si>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</si>
  <si>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</si>
  <si>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</si>
  <si>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</si>
  <si>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</si>
  <si>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</si>
  <si>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</si>
  <si>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</si>
  <si>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</si>
  <si>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</si>
  <si>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</si>
  <si>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</si>
  <si>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</si>
  <si>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</si>
  <si>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</si>
  <si>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</si>
  <si>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</si>
  <si>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</si>
  <si>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</si>
  <si>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</si>
  <si>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</si>
  <si>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</si>
  <si>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</si>
  <si>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</si>
  <si>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</si>
  <si>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</si>
  <si>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</si>
  <si>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</si>
  <si>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</si>
  <si>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</si>
  <si>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</si>
  <si>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</si>
  <si>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</si>
  <si>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</si>
  <si>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</si>
  <si>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</si>
  <si>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</si>
  <si>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</si>
  <si>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</si>
  <si>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</si>
  <si>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</si>
  <si>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</si>
  <si>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</si>
  <si>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</si>
  <si>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</si>
  <si>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</si>
  <si>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</si>
  <si>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</si>
  <si>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</si>
  <si>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</si>
  <si>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</si>
  <si>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</si>
  <si>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</si>
  <si>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</si>
  <si>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</si>
  <si>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</si>
  <si>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</si>
  <si>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</si>
  <si>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</si>
  <si>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</si>
  <si>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</si>
  <si>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</si>
  <si>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</si>
  <si>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</si>
  <si>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</si>
  <si>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</si>
  <si>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</si>
  <si>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</si>
  <si>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</si>
  <si>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</si>
  <si>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</si>
  <si>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</si>
  <si>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</si>
  <si>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</si>
  <si>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</si>
  <si>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</si>
  <si>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</si>
  <si>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</si>
  <si>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</si>
  <si>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</si>
  <si>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</si>
  <si>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</si>
  <si>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</si>
  <si>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</si>
  <si>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</si>
  <si>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</si>
  <si>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</si>
  <si>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</si>
  <si>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</si>
  <si>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</si>
  <si>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</si>
  <si>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</si>
  <si>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</si>
  <si>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</si>
  <si>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</si>
  <si>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</si>
  <si>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</si>
  <si>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</si>
  <si>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</si>
  <si>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</si>
  <si>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</si>
  <si>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</si>
  <si>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</si>
  <si>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</si>
  <si>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</si>
  <si>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</si>
  <si>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</si>
  <si>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</si>
  <si>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</si>
  <si>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</si>
  <si>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</si>
  <si>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</si>
  <si>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</si>
  <si>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</si>
  <si>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</si>
  <si>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</si>
  <si>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</si>
  <si>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</si>
  <si>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</si>
  <si>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</si>
  <si>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</si>
  <si>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</si>
  <si>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</si>
  <si>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</si>
  <si>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</si>
  <si>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</si>
  <si>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</si>
  <si>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</si>
  <si>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</si>
  <si>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</si>
  <si>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</si>
  <si>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</si>
  <si>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</si>
  <si>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</si>
  <si>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</si>
  <si>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</si>
  <si>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</si>
  <si>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</si>
  <si>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</si>
  <si>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</si>
  <si>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</si>
  <si>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</si>
  <si>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</si>
  <si>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</si>
  <si>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</si>
  <si>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</si>
  <si>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</si>
  <si>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</si>
  <si>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</si>
  <si>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</si>
  <si>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</si>
  <si>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</si>
  <si>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</si>
  <si>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</si>
  <si>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</si>
  <si>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</si>
  <si>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</si>
  <si>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</si>
  <si>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</si>
  <si>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</si>
  <si>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</si>
  <si>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</si>
  <si>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</si>
  <si>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</si>
  <si>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</si>
  <si>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</si>
  <si>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</si>
  <si>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</si>
  <si>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</si>
  <si>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</si>
  <si>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</si>
  <si>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</si>
  <si>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</si>
  <si>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</si>
  <si>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</si>
  <si>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</si>
  <si>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</si>
  <si>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</si>
  <si>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</si>
  <si>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</si>
  <si>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</si>
  <si>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</si>
  <si>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</si>
  <si>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</si>
  <si>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</si>
  <si>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</si>
  <si>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</si>
  <si>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</si>
  <si>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</si>
  <si>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</si>
  <si>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</si>
  <si>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</si>
  <si>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</si>
  <si>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</si>
  <si>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</si>
  <si>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</si>
  <si>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</si>
  <si>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</si>
  <si>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</si>
  <si>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</si>
  <si>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</si>
  <si>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</si>
  <si>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</si>
  <si>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</si>
  <si>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</si>
  <si>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</si>
  <si>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</si>
  <si>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</si>
  <si>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</si>
  <si>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</si>
  <si>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</si>
  <si>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</si>
  <si>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</si>
  <si>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</si>
  <si>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</si>
  <si>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</si>
  <si>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</si>
  <si>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</si>
  <si>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</si>
  <si>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</si>
  <si>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</si>
  <si>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</si>
  <si>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</si>
  <si>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</si>
  <si>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</si>
  <si>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</si>
  <si>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</si>
  <si>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</si>
  <si>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</si>
  <si>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</si>
  <si>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</si>
  <si>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</si>
  <si>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</si>
  <si>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</si>
  <si>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</si>
  <si>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</si>
  <si>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</si>
  <si>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</si>
  <si>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</si>
  <si>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</si>
  <si>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</si>
  <si>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</si>
  <si>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</si>
  <si>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</si>
  <si>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</si>
  <si>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</si>
  <si>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</si>
  <si>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</si>
  <si>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</si>
  <si>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</si>
  <si>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</si>
  <si>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</si>
  <si>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</si>
  <si>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</si>
  <si>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</si>
  <si>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</si>
  <si>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</si>
  <si>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</si>
  <si>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</si>
  <si>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</si>
  <si>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</si>
  <si>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</si>
  <si>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</si>
  <si>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</si>
  <si>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</si>
  <si>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</si>
  <si>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</si>
  <si>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</si>
  <si>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</si>
  <si>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</si>
  <si>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</si>
  <si>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</si>
  <si>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</si>
  <si>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</si>
  <si>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</si>
  <si>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</si>
  <si>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</si>
  <si>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</si>
  <si>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</si>
  <si>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</si>
  <si>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</si>
  <si>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</si>
  <si>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</si>
  <si>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</si>
  <si>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</si>
  <si>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</si>
  <si>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</si>
  <si>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</si>
  <si>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</si>
  <si>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</si>
  <si>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</si>
  <si>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</si>
  <si>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</si>
  <si>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</si>
  <si>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</si>
  <si>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</si>
  <si>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</si>
  <si>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</si>
  <si>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</si>
  <si>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</si>
  <si>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</si>
  <si>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</si>
  <si>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</si>
  <si>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</si>
  <si>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</si>
  <si>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</si>
  <si>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</si>
  <si>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</si>
  <si>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</si>
  <si>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</si>
  <si>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</si>
  <si>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</si>
  <si>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</si>
  <si>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</si>
  <si>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</si>
  <si>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</si>
  <si>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</si>
  <si>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</si>
  <si>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</si>
  <si>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</si>
  <si>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</si>
  <si>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</si>
  <si>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</si>
  <si>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</si>
  <si>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</si>
  <si>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</si>
  <si>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</si>
  <si>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</si>
  <si>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</si>
  <si>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</si>
  <si>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</si>
  <si>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</si>
  <si>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</si>
  <si>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</si>
  <si>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</si>
  <si>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</si>
  <si>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</si>
  <si>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</si>
  <si>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</si>
  <si>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</si>
  <si>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</si>
  <si>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</si>
  <si>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</si>
  <si>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</si>
  <si>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</si>
  <si>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</si>
  <si>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</si>
  <si>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</si>
  <si>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</si>
  <si>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</si>
  <si>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</si>
  <si>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</si>
  <si>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</si>
  <si>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</si>
  <si>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</si>
  <si>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</si>
  <si>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</si>
  <si>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</si>
  <si>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</si>
  <si>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</si>
  <si>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</si>
  <si>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</si>
  <si>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</si>
  <si>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</si>
  <si>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</si>
  <si>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</si>
  <si>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</si>
  <si>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</si>
  <si>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</si>
  <si>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</si>
  <si>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</si>
  <si>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</si>
  <si>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</si>
  <si>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</si>
  <si>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</si>
  <si>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</si>
  <si>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</si>
  <si>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</si>
  <si>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</si>
  <si>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</si>
  <si>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</si>
  <si>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</si>
  <si>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</si>
  <si>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</si>
  <si>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</si>
  <si>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</si>
  <si>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</si>
  <si>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</si>
  <si>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</si>
  <si>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</si>
  <si>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</si>
  <si>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</si>
  <si>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</si>
  <si>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</si>
  <si>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</si>
  <si>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</si>
  <si>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</si>
  <si>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</si>
  <si>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</si>
  <si>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</si>
  <si>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</si>
  <si>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</si>
  <si>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</si>
  <si>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</si>
  <si>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</si>
  <si>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</si>
  <si>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</si>
  <si>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</si>
  <si>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</si>
  <si>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</si>
  <si>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</si>
  <si>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</si>
  <si>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</si>
  <si>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</si>
  <si>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</si>
  <si>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</si>
  <si>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</si>
  <si>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</si>
  <si>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</si>
  <si>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</si>
  <si>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</si>
  <si>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</si>
  <si>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</si>
  <si>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</si>
  <si>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</si>
  <si>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</si>
  <si>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</si>
  <si>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</si>
  <si>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</si>
  <si>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</si>
  <si>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</si>
  <si>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</si>
  <si>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</si>
  <si>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</si>
  <si>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</si>
  <si>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</si>
  <si>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</si>
  <si>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</si>
  <si>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</si>
  <si>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</si>
  <si>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</si>
  <si>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</si>
  <si>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</si>
  <si>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</si>
  <si>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</si>
  <si>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</si>
  <si>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</si>
  <si>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</si>
  <si>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</si>
  <si>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</si>
  <si>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</si>
  <si>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</si>
  <si>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</si>
  <si>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</si>
  <si>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</si>
  <si>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</si>
  <si>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</si>
  <si>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</si>
  <si>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</si>
  <si>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</si>
  <si>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</si>
  <si>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</si>
  <si>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</si>
  <si>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</si>
  <si>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</si>
  <si>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</si>
  <si>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</si>
  <si>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</si>
  <si>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</si>
  <si>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</si>
  <si>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</si>
  <si>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</si>
  <si>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</si>
  <si>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</si>
  <si>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</si>
  <si>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</si>
  <si>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</si>
  <si>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</si>
  <si>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</si>
  <si>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</si>
  <si>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</si>
  <si>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</si>
  <si>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</si>
  <si>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</si>
  <si>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</si>
  <si>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</si>
  <si>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</si>
  <si>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</si>
  <si>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</si>
  <si>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</si>
  <si>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</si>
  <si>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</si>
  <si>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</si>
  <si>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</si>
  <si>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</si>
  <si>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</si>
  <si>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</si>
  <si>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</si>
  <si>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</si>
  <si>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</si>
  <si>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</si>
  <si>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</si>
  <si>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</si>
  <si>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</si>
  <si>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</si>
  <si>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</si>
  <si>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</si>
  <si>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</si>
  <si>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</si>
  <si>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</si>
  <si>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</si>
  <si>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</si>
  <si>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</si>
  <si>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</si>
  <si>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</si>
  <si>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</si>
  <si>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</si>
  <si>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</si>
  <si>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</si>
  <si>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</si>
  <si>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</si>
  <si>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</si>
  <si>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</si>
  <si>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</si>
  <si>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</si>
  <si>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</si>
  <si>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</si>
  <si>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</si>
  <si>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</si>
  <si>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</si>
  <si>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</si>
  <si>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</si>
  <si>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</si>
  <si>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</si>
  <si>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</si>
  <si>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</si>
  <si>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</si>
  <si>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</si>
  <si>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</si>
  <si>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</si>
  <si>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</si>
  <si>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</si>
  <si>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</si>
  <si>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</si>
  <si>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</si>
  <si>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</si>
  <si>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</si>
  <si>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</si>
  <si>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</si>
  <si>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</si>
  <si>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</si>
  <si>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</si>
  <si>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</si>
  <si>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</si>
  <si>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</si>
  <si>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</si>
  <si>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</si>
  <si>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</si>
  <si>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</si>
  <si>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</si>
  <si>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</si>
  <si>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</si>
  <si>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</si>
  <si>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</si>
  <si>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</si>
  <si>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</si>
  <si>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</si>
  <si>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</si>
  <si>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</si>
  <si>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</si>
  <si>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</si>
  <si>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</si>
  <si>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</si>
  <si>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</si>
  <si>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</si>
  <si>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</si>
  <si>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</si>
  <si>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</si>
  <si>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</si>
  <si>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</si>
  <si>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</si>
  <si>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</si>
  <si>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</si>
  <si>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</si>
  <si>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</si>
  <si>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</si>
  <si>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</si>
  <si>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</si>
  <si>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</si>
  <si>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</si>
  <si>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</si>
  <si>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</si>
  <si>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</si>
  <si>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</si>
  <si>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</si>
  <si>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</si>
  <si>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</si>
  <si>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</si>
  <si>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</si>
  <si>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</si>
  <si>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</si>
  <si>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</si>
  <si>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</si>
  <si>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</si>
  <si>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</si>
  <si>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</si>
  <si>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</si>
  <si>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</si>
  <si>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</si>
  <si>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</si>
  <si>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</si>
  <si>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</si>
  <si>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</si>
  <si>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</si>
  <si>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</si>
  <si>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</si>
  <si>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</si>
  <si>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</si>
  <si>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</si>
  <si>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</si>
  <si>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</si>
  <si>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</si>
  <si>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</si>
  <si>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</si>
  <si>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</si>
  <si>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</si>
  <si>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</si>
  <si>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</si>
  <si>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</si>
  <si>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</si>
  <si>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</si>
  <si>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</si>
  <si>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</si>
  <si>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</si>
  <si>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</si>
  <si>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</si>
  <si>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</si>
  <si>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</si>
  <si>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</si>
  <si>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</si>
  <si>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</si>
  <si>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</si>
  <si>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</si>
  <si>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</si>
  <si>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</si>
  <si>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</si>
  <si>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</si>
  <si>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</si>
  <si>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</si>
  <si>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</si>
  <si>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</si>
  <si>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</si>
  <si>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</si>
  <si>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</si>
  <si>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</si>
  <si>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</si>
  <si>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</si>
  <si>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</si>
  <si>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</si>
  <si>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</si>
  <si>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</si>
  <si>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</si>
  <si>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</si>
  <si>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</si>
  <si>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</si>
  <si>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</si>
  <si>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</si>
  <si>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</si>
  <si>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</si>
  <si>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</si>
  <si>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</si>
  <si>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</si>
  <si>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</si>
  <si>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</si>
  <si>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</si>
  <si>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</si>
  <si>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</si>
  <si>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</si>
  <si>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</si>
  <si>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</si>
  <si>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</si>
  <si>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</si>
  <si>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</si>
  <si>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</si>
  <si>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</si>
  <si>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</si>
  <si>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</si>
  <si>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</si>
  <si>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</si>
  <si>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</si>
  <si>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</si>
  <si>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</si>
  <si>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</si>
  <si>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</si>
  <si>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</si>
  <si>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</si>
  <si>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</si>
  <si>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</si>
  <si>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</si>
  <si>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</si>
  <si>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</si>
  <si>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</si>
  <si>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</si>
  <si>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</si>
  <si>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</si>
  <si>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</si>
  <si>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</si>
  <si>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</si>
  <si>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</si>
  <si>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</si>
  <si>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</si>
  <si>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</si>
  <si>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</si>
  <si>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</si>
  <si>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</si>
  <si>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</si>
  <si>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</si>
  <si>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</si>
  <si>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</si>
  <si>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</si>
  <si>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</si>
  <si>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</si>
  <si>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</si>
  <si>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</si>
  <si>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</si>
  <si>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</si>
  <si>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</si>
  <si>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</si>
  <si>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</si>
  <si>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</si>
  <si>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</si>
  <si>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</si>
  <si>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</si>
  <si>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</si>
  <si>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</si>
  <si>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</si>
  <si>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</si>
  <si>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</si>
  <si>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</si>
  <si>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</si>
  <si>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</si>
  <si>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</si>
  <si>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</si>
  <si>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</si>
  <si>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</si>
  <si>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</si>
  <si>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</si>
  <si>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</si>
  <si>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</si>
  <si>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</si>
  <si>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</si>
  <si>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</si>
  <si>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</si>
  <si>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</si>
  <si>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</si>
  <si>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</si>
  <si>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</si>
  <si>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</si>
  <si>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</si>
  <si>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</si>
  <si>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</si>
  <si>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</si>
  <si>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</si>
  <si>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</si>
  <si>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</si>
  <si>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</si>
  <si>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</si>
  <si>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</si>
  <si>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</si>
  <si>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</si>
  <si>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</si>
  <si>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</si>
  <si>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</si>
  <si>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</si>
  <si>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</si>
  <si>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</si>
  <si>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</si>
  <si>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</si>
  <si>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</si>
  <si>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</si>
  <si>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</si>
  <si>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</si>
  <si>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</si>
  <si>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</si>
  <si>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</si>
  <si>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</si>
  <si>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</si>
  <si>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</si>
  <si>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</si>
  <si>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</si>
  <si>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</si>
  <si>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</si>
  <si>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</si>
  <si>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</si>
  <si>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</si>
  <si>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</si>
  <si>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</si>
  <si>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</si>
  <si>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</si>
  <si>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</si>
  <si>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</si>
  <si>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</si>
  <si>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</si>
  <si>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</si>
  <si>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</si>
  <si>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</si>
  <si>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</si>
  <si>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</si>
  <si>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</si>
  <si>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</si>
  <si>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</si>
  <si>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</si>
  <si>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</si>
  <si>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</si>
  <si>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</si>
  <si>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</si>
  <si>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</si>
  <si>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</si>
  <si>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</si>
  <si>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</si>
  <si>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</si>
  <si>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</si>
  <si>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</si>
  <si>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</si>
  <si>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</si>
  <si>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</si>
  <si>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</si>
  <si>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</si>
  <si>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</si>
  <si>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</si>
  <si>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</si>
  <si>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</si>
  <si>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</si>
  <si>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</si>
  <si>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</si>
  <si>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</si>
  <si>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</si>
  <si>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</si>
  <si>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</si>
  <si>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</si>
  <si>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</si>
  <si>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</si>
  <si>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</si>
  <si>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</si>
  <si>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</si>
  <si>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</si>
  <si>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</si>
  <si>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</si>
  <si>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</si>
  <si>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</si>
  <si>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</si>
  <si>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</si>
  <si>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</si>
  <si>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</si>
  <si>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</si>
  <si>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</si>
  <si>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</si>
  <si>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</si>
  <si>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</si>
  <si>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</si>
  <si>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</si>
  <si>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</si>
  <si>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</si>
  <si>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</si>
  <si>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</si>
  <si>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</si>
  <si>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</si>
  <si>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</si>
  <si>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</si>
  <si>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</si>
  <si>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</si>
  <si>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</si>
  <si>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</si>
  <si>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</si>
  <si>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</si>
  <si>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</si>
  <si>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</si>
  <si>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</si>
  <si>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</si>
  <si>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</si>
  <si>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</si>
  <si>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</si>
  <si>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</si>
  <si>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</si>
  <si>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</si>
  <si>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</si>
  <si>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</si>
  <si>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</si>
  <si>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</si>
  <si>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</si>
  <si>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</si>
  <si>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</si>
  <si>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</si>
  <si>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</si>
  <si>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</si>
  <si>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</si>
  <si>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</si>
  <si>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</si>
  <si>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</si>
  <si>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</si>
  <si>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</si>
  <si>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</si>
  <si>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</si>
  <si>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</si>
  <si>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</si>
  <si>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</si>
  <si>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</si>
  <si>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</si>
  <si>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</si>
  <si>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</si>
  <si>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</si>
  <si>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</si>
  <si>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</si>
  <si>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</si>
  <si>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</si>
  <si>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</si>
  <si>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</si>
  <si>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</si>
  <si>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</si>
  <si>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</si>
  <si>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</si>
  <si>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</si>
  <si>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</si>
  <si>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</si>
  <si>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</si>
  <si>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</si>
  <si>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</si>
  <si>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</si>
  <si>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</si>
  <si>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</si>
  <si>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</si>
  <si>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</si>
  <si>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</si>
  <si>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</si>
  <si>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</si>
  <si>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</si>
  <si>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</si>
  <si>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</si>
  <si>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</si>
  <si>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</si>
  <si>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</si>
  <si>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</si>
  <si>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</si>
  <si>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</si>
  <si>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</si>
  <si>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</si>
  <si>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</si>
  <si>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</si>
  <si>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</si>
  <si>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</si>
  <si>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</si>
  <si>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</si>
  <si>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</si>
  <si>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</si>
  <si>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</si>
  <si>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</si>
  <si>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</si>
  <si>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</si>
  <si>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</si>
  <si>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</si>
  <si>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</si>
  <si>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</si>
  <si>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</si>
  <si>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</si>
  <si>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</si>
  <si>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</si>
  <si>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</si>
  <si>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</si>
  <si>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</si>
  <si>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</si>
  <si>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</si>
  <si>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</si>
  <si>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</si>
  <si>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</si>
  <si>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</si>
  <si>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</si>
  <si>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</si>
  <si>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</si>
  <si>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</si>
  <si>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</si>
  <si>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</si>
  <si>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</si>
  <si>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</si>
  <si>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</si>
  <si>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</si>
  <si>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</si>
  <si>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</si>
  <si>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</si>
  <si>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</si>
  <si>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</si>
  <si>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</si>
  <si>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</si>
  <si>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</si>
  <si>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</si>
  <si>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</si>
  <si>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</si>
  <si>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</si>
  <si>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</si>
  <si>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</si>
  <si>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</si>
  <si>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</si>
  <si>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</si>
  <si>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</si>
  <si>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</si>
  <si>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</si>
  <si>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</si>
  <si>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</si>
  <si>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</si>
  <si>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</si>
  <si>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</si>
  <si>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</si>
  <si>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</si>
  <si>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</si>
  <si>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</si>
  <si>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</si>
  <si>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</si>
  <si>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</si>
  <si>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</si>
  <si>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</si>
  <si>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</si>
  <si>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</si>
  <si>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</si>
  <si>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</si>
  <si>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</si>
  <si>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</si>
  <si>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</si>
  <si>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</si>
  <si>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</si>
  <si>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</si>
  <si>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</si>
  <si>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</si>
  <si>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</si>
  <si>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</si>
  <si>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</si>
  <si>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</si>
  <si>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</si>
  <si>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</si>
  <si>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</si>
  <si>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</si>
  <si>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</si>
  <si>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</si>
  <si>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</si>
  <si>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</si>
  <si>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</si>
  <si>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</si>
  <si>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</si>
  <si>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</si>
  <si>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</si>
  <si>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</si>
  <si>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</si>
  <si>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</si>
  <si>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</si>
  <si>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</si>
  <si>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</si>
  <si>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</si>
  <si>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</si>
  <si>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</si>
  <si>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</si>
  <si>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</si>
  <si>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</si>
  <si>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</si>
  <si>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</si>
  <si>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</si>
  <si>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</si>
  <si>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</si>
  <si>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</si>
  <si>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</si>
  <si>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</si>
  <si>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</si>
  <si>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</si>
  <si>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</si>
  <si>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</si>
  <si>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</si>
  <si>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</si>
  <si>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</si>
  <si>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</si>
  <si>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</si>
  <si>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</si>
  <si>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</si>
  <si>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</si>
  <si>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</si>
  <si>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</si>
  <si>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</si>
  <si>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</si>
  <si>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</si>
  <si>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</si>
  <si>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</si>
  <si>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</si>
  <si>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</si>
  <si>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</si>
  <si>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</si>
  <si>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</si>
  <si>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</si>
  <si>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</si>
  <si>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</si>
  <si>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</si>
  <si>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</si>
  <si>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</si>
  <si>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</si>
  <si>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</si>
  <si>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</si>
  <si>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</si>
  <si>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</si>
  <si>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</si>
  <si>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</si>
  <si>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</si>
  <si>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</si>
  <si>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</si>
  <si>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</si>
  <si>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</si>
  <si>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</si>
  <si>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</si>
  <si>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</si>
  <si>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</si>
  <si>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</si>
  <si>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</si>
  <si>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</si>
  <si>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</si>
  <si>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</si>
  <si>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</si>
  <si>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</si>
  <si>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</si>
  <si>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</si>
  <si>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</si>
  <si>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</si>
  <si>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</si>
  <si>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</si>
  <si>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</si>
  <si>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</si>
  <si>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</si>
  <si>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</si>
  <si>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</si>
  <si>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</si>
  <si>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</si>
  <si>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</si>
  <si>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</si>
  <si>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</si>
  <si>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</si>
  <si>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</si>
  <si>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</si>
  <si>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</si>
  <si>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</si>
  <si>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</si>
  <si>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</si>
  <si>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</si>
  <si>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</si>
  <si>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</si>
  <si>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</si>
  <si>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</si>
  <si>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</si>
  <si>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</si>
  <si>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</si>
  <si>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</si>
  <si>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</si>
  <si>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</si>
  <si>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</si>
  <si>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</si>
  <si>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</si>
  <si>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</si>
  <si>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</si>
  <si>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</si>
  <si>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</si>
  <si>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</si>
  <si>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</si>
  <si>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</si>
  <si>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</si>
  <si>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</si>
  <si>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</si>
  <si>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</si>
  <si>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</si>
  <si>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</si>
  <si>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</si>
  <si>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</si>
  <si>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</si>
  <si>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</si>
  <si>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</si>
  <si>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</si>
  <si>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</si>
  <si>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</si>
  <si>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</si>
  <si>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</si>
  <si>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</si>
  <si>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</si>
  <si>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</si>
  <si>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</si>
  <si>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</si>
  <si>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</si>
  <si>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</si>
  <si>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</si>
  <si>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</si>
  <si>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</si>
  <si>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</si>
  <si>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</si>
  <si>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</si>
  <si>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</si>
  <si>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</si>
  <si>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</si>
  <si>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</si>
  <si>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</si>
  <si>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</si>
  <si>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</si>
  <si>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</si>
  <si>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</si>
  <si>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</si>
  <si>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</si>
  <si>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</si>
  <si>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</si>
  <si>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</si>
  <si>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</si>
  <si>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</si>
  <si>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</si>
  <si>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</si>
  <si>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</si>
  <si>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</si>
  <si>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</si>
  <si>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</si>
  <si>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</si>
  <si>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</si>
  <si>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</si>
  <si>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</si>
  <si>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</si>
  <si>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</si>
  <si>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</si>
  <si>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</si>
  <si>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</si>
  <si>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</si>
  <si>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</si>
  <si>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</si>
  <si>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</si>
  <si>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</si>
  <si>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</si>
  <si>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</si>
  <si>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</si>
  <si>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</si>
  <si>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</si>
  <si>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</si>
  <si>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</si>
  <si>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</si>
  <si>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</si>
  <si>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</si>
  <si>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</si>
  <si>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</si>
  <si>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</si>
  <si>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</si>
  <si>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</si>
  <si>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</si>
  <si>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</si>
  <si>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</si>
  <si>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</si>
  <si>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</si>
  <si>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</si>
  <si>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</si>
  <si>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</si>
  <si>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</si>
  <si>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</si>
  <si>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</si>
  <si>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</si>
  <si>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</si>
  <si>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</si>
  <si>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</si>
  <si>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</si>
  <si>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</si>
  <si>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</si>
  <si>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</si>
  <si>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</si>
  <si>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</si>
  <si>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</si>
  <si>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</si>
  <si>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</si>
  <si>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</si>
  <si>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</si>
  <si>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</si>
  <si>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</si>
  <si>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</si>
  <si>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</si>
  <si>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</si>
  <si>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</si>
  <si>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</si>
  <si>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</si>
  <si>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</si>
  <si>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</si>
  <si>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</si>
  <si>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</si>
  <si>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</si>
  <si>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</si>
  <si>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</si>
  <si>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</si>
  <si>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</si>
  <si>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</si>
  <si>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</si>
  <si>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</si>
  <si>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</si>
  <si>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</si>
  <si>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</si>
  <si>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</si>
  <si>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</si>
  <si>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</si>
  <si>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</si>
  <si>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</si>
  <si>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</si>
  <si>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</si>
  <si>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</si>
  <si>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</si>
  <si>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</si>
  <si>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</si>
  <si>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</si>
  <si>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</si>
  <si>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</si>
  <si>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</si>
  <si>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</si>
  <si>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</si>
  <si>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</si>
  <si>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</si>
  <si>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</si>
  <si>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</si>
  <si>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</si>
  <si>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</si>
  <si>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</si>
  <si>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</si>
  <si>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</si>
  <si>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</si>
  <si>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</si>
  <si>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</si>
  <si>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</si>
  <si>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</si>
  <si>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</si>
  <si>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</si>
  <si>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</si>
  <si>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</si>
  <si>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</si>
  <si>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</si>
  <si>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</si>
  <si>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</si>
  <si>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</si>
  <si>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</si>
  <si>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</si>
  <si>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</si>
  <si>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</si>
  <si>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</si>
  <si>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</si>
  <si>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</si>
  <si>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</si>
  <si>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</si>
  <si>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</si>
  <si>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</si>
  <si>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</si>
  <si>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</si>
  <si>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</si>
  <si>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</si>
  <si>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</si>
  <si>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</si>
  <si>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</si>
  <si>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</si>
  <si>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</si>
  <si>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</si>
  <si>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</si>
  <si>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</si>
  <si>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</si>
  <si>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</si>
  <si>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</si>
  <si>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</si>
  <si>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</si>
  <si>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</si>
  <si>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</si>
  <si>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</si>
  <si>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</si>
  <si>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</si>
  <si>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</si>
  <si>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</si>
  <si>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</si>
  <si>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</si>
  <si>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</si>
  <si>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</si>
  <si>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</si>
  <si>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</si>
  <si>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</si>
  <si>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</si>
  <si>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</si>
  <si>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</si>
  <si>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</si>
  <si>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</si>
  <si>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</si>
  <si>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</si>
  <si>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</si>
  <si>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</si>
  <si>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</si>
  <si>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</si>
  <si>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</si>
  <si>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</si>
  <si>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</si>
  <si>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</si>
  <si>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</si>
  <si>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</si>
  <si>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</si>
  <si>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</si>
  <si>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</si>
  <si>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</si>
  <si>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</si>
  <si>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</si>
  <si>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</si>
  <si>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</si>
  <si>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</si>
  <si>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</si>
  <si>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</si>
  <si>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</si>
  <si>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</si>
  <si>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</si>
  <si>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</si>
  <si>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</si>
  <si>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</si>
  <si>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</si>
  <si>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</si>
  <si>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</si>
  <si>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</si>
  <si>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</si>
  <si>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</si>
  <si>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</si>
  <si>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</si>
  <si>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</si>
  <si>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</si>
  <si>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</si>
  <si>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</si>
  <si>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</si>
  <si>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</si>
  <si>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</si>
  <si>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</si>
  <si>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</si>
  <si>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</si>
  <si>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</si>
  <si>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</si>
  <si>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</si>
  <si>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</si>
  <si>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</si>
  <si>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</si>
  <si>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</si>
  <si>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</si>
  <si>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</si>
  <si>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</si>
  <si>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</si>
  <si>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</si>
  <si>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</si>
  <si>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</si>
  <si>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</si>
  <si>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</si>
  <si>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</si>
  <si>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</si>
  <si>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</si>
  <si>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</si>
  <si>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</si>
  <si>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</si>
  <si>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</si>
  <si>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</si>
  <si>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</si>
  <si>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</si>
  <si>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</si>
  <si>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</si>
  <si>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</si>
  <si>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</si>
  <si>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</si>
  <si>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</si>
  <si>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</si>
  <si>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</si>
  <si>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</si>
  <si>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</si>
  <si>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</si>
  <si>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</si>
  <si>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</si>
  <si>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</si>
  <si>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</si>
  <si>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</si>
  <si>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</si>
  <si>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</si>
  <si>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</si>
  <si>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</si>
  <si>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</si>
  <si>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</si>
  <si>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</si>
  <si>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</si>
  <si>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</si>
  <si>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</si>
  <si>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</si>
  <si>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</si>
  <si>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</si>
  <si>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</si>
  <si>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</si>
  <si>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</si>
  <si>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</si>
  <si>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</si>
  <si>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</si>
  <si>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</si>
  <si>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</si>
  <si>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</si>
  <si>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</si>
  <si>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</si>
  <si>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</si>
  <si>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</si>
  <si>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</si>
  <si>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</si>
  <si>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</si>
  <si>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</si>
  <si>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</si>
  <si>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</si>
  <si>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</si>
  <si>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</si>
  <si>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</si>
  <si>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</si>
  <si>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</si>
  <si>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</si>
  <si>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</si>
  <si>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</si>
  <si>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</si>
  <si>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</si>
  <si>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</si>
  <si>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</si>
  <si>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</si>
  <si>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</si>
  <si>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</si>
  <si>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</si>
  <si>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</si>
  <si>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</si>
  <si>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</si>
  <si>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</si>
  <si>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</si>
  <si>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</si>
  <si>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</si>
  <si>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</si>
  <si>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</si>
  <si>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</si>
  <si>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</si>
  <si>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</si>
  <si>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</si>
  <si>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</si>
  <si>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</si>
  <si>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</si>
  <si>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</si>
  <si>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</si>
  <si>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</si>
  <si>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</si>
  <si>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</si>
  <si>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</si>
  <si>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</si>
  <si>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</si>
  <si>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</si>
  <si>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</si>
  <si>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</si>
  <si>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</si>
  <si>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</si>
  <si>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</si>
  <si>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</si>
  <si>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</si>
  <si>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</si>
  <si>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</si>
  <si>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</si>
  <si>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</si>
  <si>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</si>
  <si>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</si>
  <si>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</si>
  <si>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</si>
  <si>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</si>
  <si>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</si>
  <si>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</si>
  <si>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</si>
  <si>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</si>
  <si>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</si>
  <si>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</si>
  <si>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</si>
  <si>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</si>
  <si>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</si>
  <si>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</si>
  <si>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</si>
  <si>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</si>
  <si>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</si>
  <si>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</si>
  <si>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</si>
  <si>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</si>
  <si>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</si>
  <si>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</si>
  <si>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</si>
  <si>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</si>
  <si>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</si>
  <si>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</si>
  <si>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</si>
  <si>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</si>
  <si>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</si>
  <si>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</si>
  <si>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</si>
  <si>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</si>
  <si>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</si>
  <si>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</si>
  <si>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</si>
  <si>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</si>
  <si>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</si>
  <si>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</si>
  <si>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</si>
  <si>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</si>
  <si>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</si>
  <si>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</si>
  <si>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</si>
  <si>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</si>
  <si>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</si>
  <si>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</si>
  <si>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</si>
  <si>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</si>
  <si>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</si>
  <si>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</si>
  <si>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</si>
  <si>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</si>
  <si>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</si>
  <si>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</si>
  <si>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</si>
  <si>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</si>
  <si>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</si>
  <si>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</si>
  <si>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</si>
  <si>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</si>
  <si>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</si>
  <si>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</si>
  <si>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</si>
  <si>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</si>
  <si>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</si>
  <si>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</si>
  <si>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</si>
  <si>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</si>
  <si>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</si>
  <si>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</si>
  <si>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</si>
  <si>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</si>
  <si>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</si>
  <si>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</si>
  <si>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</si>
  <si>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</si>
  <si>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</si>
  <si>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</si>
  <si>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</si>
  <si>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</si>
  <si>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</si>
  <si>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</si>
  <si>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</si>
  <si>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</si>
  <si>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</si>
  <si>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</si>
  <si>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</si>
  <si>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</si>
  <si>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</si>
  <si>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</si>
  <si>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</si>
  <si>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</si>
  <si>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</si>
  <si>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</si>
  <si>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</si>
  <si>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</si>
  <si>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</si>
  <si>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</si>
  <si>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</si>
  <si>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</si>
  <si>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</si>
  <si>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</si>
  <si>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</si>
  <si>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</si>
  <si>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</si>
  <si>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</si>
  <si>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</si>
  <si>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</si>
  <si>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</si>
  <si>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</si>
  <si>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</si>
  <si>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</si>
  <si>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</si>
  <si>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</si>
  <si>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</si>
  <si>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</si>
  <si>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</si>
  <si>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</si>
  <si>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</si>
  <si>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</si>
  <si>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</si>
  <si>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</si>
  <si>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</si>
  <si>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</si>
  <si>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</si>
  <si>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</si>
  <si>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</si>
  <si>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</si>
  <si>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</si>
  <si>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</si>
  <si>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</si>
  <si>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</si>
  <si>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</si>
  <si>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</si>
  <si>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</si>
  <si>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</si>
  <si>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</si>
  <si>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</si>
  <si>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</si>
  <si>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</si>
  <si>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</si>
  <si>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</si>
  <si>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</si>
  <si>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</si>
  <si>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</si>
  <si>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</si>
  <si>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</si>
  <si>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</si>
  <si>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</si>
  <si>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</si>
  <si>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</si>
  <si>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</si>
  <si>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</si>
  <si>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</si>
  <si>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</si>
  <si>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</si>
  <si>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</si>
  <si>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</si>
  <si>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</si>
  <si>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</si>
  <si>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</si>
  <si>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</si>
  <si>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</si>
  <si>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</si>
  <si>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</si>
  <si>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</si>
  <si>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</si>
  <si>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</si>
  <si>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</si>
  <si>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</si>
  <si>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</si>
  <si>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</si>
  <si>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</si>
  <si>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</si>
  <si>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</si>
  <si>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</si>
  <si>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</si>
  <si>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</si>
  <si>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</si>
  <si>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</si>
  <si>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</si>
  <si>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</si>
  <si>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</si>
  <si>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</si>
  <si>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</si>
  <si>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</si>
  <si>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</si>
  <si>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</si>
  <si>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</si>
  <si>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</si>
  <si>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</si>
  <si>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</si>
  <si>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</si>
  <si>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</si>
  <si>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</si>
  <si>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</si>
  <si>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</si>
  <si>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</si>
  <si>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</si>
  <si>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</si>
  <si>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</si>
  <si>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</si>
  <si>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</si>
  <si>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</si>
  <si>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</si>
  <si>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</si>
  <si>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</si>
  <si>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</si>
  <si>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</si>
  <si>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</si>
  <si>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</si>
  <si>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</si>
  <si>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</si>
  <si>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</si>
  <si>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</si>
  <si>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</si>
  <si>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</si>
  <si>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</si>
  <si>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</si>
  <si>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</si>
  <si>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</si>
  <si>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</si>
  <si>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</si>
  <si>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</si>
  <si>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</si>
  <si>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</si>
  <si>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</si>
  <si>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</si>
  <si>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</si>
  <si>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</si>
  <si>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</si>
  <si>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</si>
  <si>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</si>
  <si>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</si>
  <si>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</si>
  <si>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</si>
  <si>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</si>
  <si>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</si>
  <si>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</si>
  <si>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</si>
  <si>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</si>
  <si>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</si>
  <si>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</si>
  <si>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</si>
  <si>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</si>
  <si>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</si>
  <si>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</si>
  <si>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</si>
  <si>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</si>
  <si>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</si>
  <si>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</si>
  <si>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</si>
  <si>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</si>
  <si>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</si>
  <si>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</si>
  <si>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</si>
  <si>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</si>
  <si>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</si>
  <si>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</si>
  <si>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</si>
  <si>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</si>
  <si>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</si>
  <si>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</si>
  <si>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</si>
  <si>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</si>
  <si>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</si>
  <si>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</si>
  <si>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</si>
  <si>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</si>
  <si>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</si>
  <si>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</si>
  <si>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</si>
  <si>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</si>
  <si>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</si>
  <si>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</si>
  <si>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</si>
  <si>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</si>
  <si>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</si>
  <si>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</si>
  <si>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</si>
  <si>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</si>
  <si>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</si>
  <si>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</si>
  <si>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</si>
  <si>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</si>
  <si>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</si>
  <si>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</si>
  <si>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</si>
  <si>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</si>
  <si>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</si>
  <si>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</si>
  <si>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</si>
  <si>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</si>
  <si>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</si>
  <si>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</si>
  <si>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</si>
  <si>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</si>
  <si>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</si>
  <si>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</si>
  <si>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</si>
  <si>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</si>
  <si>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</si>
  <si>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</si>
  <si>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</si>
  <si>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</si>
  <si>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</si>
  <si>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</si>
  <si>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</si>
  <si>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</si>
  <si>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</si>
  <si>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</si>
  <si>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</si>
  <si>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</si>
  <si>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</si>
  <si>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</si>
  <si>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</si>
  <si>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</si>
  <si>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</si>
  <si>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</si>
  <si>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</si>
  <si>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</si>
  <si>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</si>
  <si>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</si>
  <si>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</si>
  <si>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</si>
  <si>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</si>
  <si>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</si>
  <si>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</si>
  <si>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</si>
  <si>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</si>
  <si>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</si>
  <si>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</si>
  <si>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</si>
  <si>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</si>
  <si>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</si>
  <si>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</si>
  <si>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</si>
  <si>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</si>
  <si>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</si>
  <si>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</si>
  <si>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</si>
  <si>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</si>
  <si>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</si>
  <si>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</si>
  <si>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</si>
  <si>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</si>
  <si>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</si>
  <si>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</si>
  <si>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</si>
  <si>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</si>
  <si>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</si>
  <si>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</si>
  <si>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</si>
  <si>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</si>
  <si>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</si>
  <si>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</si>
  <si>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</si>
  <si>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</si>
  <si>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</si>
  <si>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</si>
  <si>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</si>
  <si>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</si>
  <si>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</si>
  <si>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</si>
  <si>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</si>
  <si>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</si>
  <si>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</si>
  <si>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</si>
  <si>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</si>
  <si>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</si>
  <si>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</si>
  <si>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</si>
  <si>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</si>
  <si>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</si>
  <si>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</si>
  <si>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</si>
  <si>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</si>
  <si>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</si>
  <si>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</si>
  <si>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</si>
  <si>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</si>
  <si>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</si>
  <si>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</si>
  <si>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</si>
  <si>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</si>
  <si>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</si>
  <si>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</si>
  <si>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</si>
  <si>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</si>
  <si>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</si>
  <si>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</si>
  <si>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</si>
  <si>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</si>
  <si>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</si>
  <si>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</si>
  <si>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</si>
  <si>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</si>
  <si>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</si>
  <si>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</si>
  <si>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</si>
  <si>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</si>
  <si>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</si>
  <si>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</si>
  <si>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</si>
  <si>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</si>
  <si>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</si>
  <si>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</si>
  <si>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</si>
  <si>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</si>
  <si>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</si>
  <si>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</si>
  <si>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</si>
  <si>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</si>
  <si>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</si>
  <si>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</si>
  <si>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</si>
  <si>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</si>
  <si>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</si>
  <si>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</si>
  <si>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</si>
  <si>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</si>
  <si>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</si>
  <si>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</si>
  <si>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</si>
  <si>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</si>
  <si>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</si>
  <si>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</si>
  <si>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</si>
  <si>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</si>
  <si>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</si>
  <si>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</si>
  <si>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</si>
  <si>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</si>
  <si>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</si>
  <si>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</si>
  <si>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</si>
  <si>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</si>
  <si>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</si>
  <si>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</si>
  <si>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</si>
  <si>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</si>
  <si>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</si>
  <si>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</si>
  <si>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</si>
  <si>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</si>
  <si>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</si>
  <si>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</si>
  <si>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</si>
  <si>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</si>
  <si>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</si>
  <si>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</si>
  <si>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</si>
  <si>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</si>
  <si>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</si>
  <si>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</si>
  <si>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</si>
  <si>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</si>
  <si>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</si>
  <si>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</si>
  <si>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</si>
  <si>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</si>
  <si>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</si>
  <si>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</si>
  <si>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</si>
  <si>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</si>
  <si>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</si>
  <si>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</si>
  <si>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</si>
  <si>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</si>
  <si>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</si>
  <si>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</si>
  <si>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</si>
  <si>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</si>
  <si>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</si>
  <si>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</si>
  <si>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</si>
  <si>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</si>
  <si>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</si>
  <si>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</si>
  <si>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</si>
  <si>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</si>
  <si>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</si>
  <si>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</si>
  <si>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</si>
  <si>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</si>
  <si>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</si>
  <si>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</si>
  <si>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</si>
  <si>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</si>
  <si>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</si>
  <si>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</si>
  <si>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</si>
  <si>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</si>
  <si>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</si>
  <si>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</si>
  <si>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</si>
  <si>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</si>
  <si>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</si>
  <si>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</si>
  <si>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</si>
  <si>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</si>
  <si>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</si>
  <si>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</si>
  <si>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</si>
  <si>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</si>
  <si>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</si>
  <si>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</si>
  <si>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</si>
  <si>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</si>
  <si>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</si>
  <si>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</si>
  <si>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</si>
  <si>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</si>
  <si>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</si>
  <si>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</si>
  <si>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</si>
  <si>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</si>
  <si>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</si>
  <si>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</si>
  <si>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</si>
  <si>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</si>
  <si>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</si>
  <si>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</si>
  <si>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</si>
  <si>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</si>
  <si>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</si>
  <si>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</si>
  <si>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</si>
  <si>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</si>
  <si>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</si>
  <si>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</si>
  <si>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</si>
  <si>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</si>
  <si>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</si>
  <si>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</si>
  <si>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</si>
  <si>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</si>
  <si>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</si>
  <si>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</si>
  <si>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</si>
  <si>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</si>
  <si>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</si>
  <si>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</si>
  <si>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</si>
  <si>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</si>
  <si>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</si>
  <si>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</si>
  <si>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</si>
  <si>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</si>
  <si>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</si>
  <si>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</si>
  <si>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</si>
  <si>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</si>
  <si>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</si>
  <si>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</si>
  <si>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</si>
  <si>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</si>
  <si>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</si>
  <si>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</si>
  <si>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</si>
  <si>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</si>
  <si>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</si>
  <si>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</si>
  <si>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</si>
  <si>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</si>
  <si>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</si>
  <si>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</si>
  <si>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</si>
  <si>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</si>
  <si>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</si>
  <si>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</si>
  <si>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</si>
  <si>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</si>
  <si>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</si>
  <si>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</si>
  <si>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</si>
  <si>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</si>
  <si>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</si>
  <si>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</si>
  <si>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</si>
  <si>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</si>
  <si>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</si>
  <si>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</si>
  <si>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</si>
  <si>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</si>
  <si>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</si>
  <si>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</si>
  <si>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</si>
  <si>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</si>
  <si>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</si>
  <si>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</si>
  <si>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</si>
  <si>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</si>
  <si>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</si>
  <si>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</si>
  <si>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</si>
  <si>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</si>
  <si>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</si>
  <si>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</si>
  <si>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</si>
  <si>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</si>
  <si>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</si>
  <si>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</si>
  <si>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</si>
  <si>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</si>
  <si>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</si>
  <si>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</si>
  <si>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</si>
  <si>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</si>
  <si>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</si>
  <si>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</si>
  <si>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</si>
  <si>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</si>
  <si>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</si>
  <si>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</si>
  <si>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</si>
  <si>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</si>
  <si>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</si>
  <si>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</si>
  <si>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</si>
  <si>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</si>
  <si>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</si>
  <si>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</si>
  <si>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</si>
  <si>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</si>
  <si>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</si>
  <si>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</si>
  <si>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</si>
  <si>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</si>
  <si>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</si>
  <si>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</si>
  <si>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</si>
  <si>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</si>
  <si>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</si>
  <si>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</si>
  <si>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</si>
  <si>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</si>
  <si>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</si>
  <si>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</si>
  <si>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</si>
  <si>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</si>
  <si>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</si>
  <si>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</si>
  <si>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</si>
  <si>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</si>
  <si>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</si>
  <si>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</si>
  <si>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</si>
  <si>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</si>
  <si>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</si>
  <si>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</si>
  <si>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</si>
  <si>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</si>
  <si>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</si>
  <si>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</si>
  <si>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</si>
  <si>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</si>
  <si>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</si>
  <si>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</si>
  <si>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</si>
  <si>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</si>
  <si>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</si>
  <si>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</si>
  <si>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</si>
  <si>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</si>
  <si>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</si>
  <si>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</si>
  <si>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</si>
  <si>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</si>
  <si>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</si>
  <si>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</si>
  <si>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</si>
  <si>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</si>
  <si>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</si>
  <si>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</si>
  <si>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</si>
  <si>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</si>
  <si>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</si>
  <si>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</si>
  <si>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</si>
  <si>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</si>
  <si>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</si>
  <si>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</si>
  <si>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</si>
  <si>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</si>
  <si>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</si>
  <si>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</si>
  <si>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</si>
  <si>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</si>
  <si>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</si>
  <si>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</si>
  <si>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</si>
  <si>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</si>
  <si>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</si>
  <si>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</si>
  <si>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</si>
  <si>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</si>
  <si>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</si>
  <si>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</si>
  <si>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</si>
  <si>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</si>
  <si>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</si>
  <si>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</si>
  <si>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</si>
  <si>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</si>
  <si>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</si>
  <si>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</si>
  <si>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</si>
  <si>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</si>
  <si>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</si>
  <si>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</si>
  <si>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</si>
  <si>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</si>
  <si>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</si>
  <si>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</si>
  <si>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</si>
  <si>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</si>
  <si>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</si>
  <si>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</si>
  <si>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</si>
  <si>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</si>
  <si>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</si>
  <si>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</si>
  <si>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</si>
  <si>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</si>
  <si>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</si>
  <si>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</si>
  <si>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</si>
  <si>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</si>
  <si>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</si>
  <si>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</si>
  <si>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</si>
  <si>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</si>
  <si>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</si>
  <si>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</si>
  <si>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</si>
  <si>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</si>
  <si>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</si>
  <si>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</si>
  <si>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</si>
  <si>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</si>
  <si>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</si>
  <si>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</si>
  <si>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</si>
  <si>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</si>
  <si>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</si>
  <si>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</si>
  <si>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</si>
  <si>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</si>
  <si>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</si>
  <si>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</si>
  <si>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</si>
  <si>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</si>
  <si>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</si>
  <si>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</si>
  <si>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</si>
  <si>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</si>
  <si>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</si>
  <si>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</si>
  <si>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</si>
  <si>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</si>
  <si>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</si>
  <si>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</si>
  <si>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</si>
  <si>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</si>
  <si>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</si>
  <si>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</si>
  <si>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</si>
  <si>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</si>
  <si>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</si>
  <si>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</si>
  <si>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</si>
  <si>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</si>
  <si>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</si>
  <si>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</si>
  <si>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</si>
  <si>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</si>
  <si>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</si>
  <si>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</si>
  <si>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</si>
  <si>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</si>
  <si>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</si>
  <si>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</si>
  <si>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</si>
  <si>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</si>
  <si>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</si>
  <si>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</si>
  <si>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</si>
  <si>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</si>
  <si>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</si>
  <si>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</si>
  <si>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</si>
  <si>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</si>
  <si>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</si>
  <si>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</si>
  <si>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</si>
  <si>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</si>
  <si>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</si>
  <si>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</si>
  <si>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</si>
  <si>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</si>
  <si>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</si>
  <si>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</si>
  <si>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</si>
  <si>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</si>
  <si>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</si>
  <si>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</si>
  <si>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</si>
  <si>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</si>
  <si>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</si>
  <si>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</si>
  <si>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</si>
  <si>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</si>
  <si>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</si>
  <si>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</si>
  <si>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</si>
  <si>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</si>
  <si>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</si>
  <si>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</si>
  <si>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</si>
  <si>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</si>
  <si>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</si>
  <si>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</si>
  <si>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</si>
  <si>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</si>
  <si>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</si>
  <si>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</si>
  <si>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</si>
  <si>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</si>
  <si>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</si>
  <si>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</si>
  <si>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</si>
  <si>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</si>
  <si>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</si>
  <si>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</si>
  <si>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</si>
  <si>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</si>
  <si>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</si>
  <si>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</si>
  <si>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</si>
  <si>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</si>
  <si>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</si>
  <si>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</si>
  <si>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</si>
  <si>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</si>
  <si>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</si>
  <si>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</si>
  <si>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</si>
  <si>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</si>
  <si>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</si>
  <si>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</si>
  <si>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</si>
  <si>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</si>
  <si>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</si>
  <si>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</si>
  <si>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</si>
  <si>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</si>
  <si>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</si>
  <si>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</si>
  <si>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</si>
  <si>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</si>
  <si>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</si>
  <si>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</si>
  <si>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</si>
  <si>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</si>
  <si>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</si>
  <si>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</si>
  <si>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</si>
  <si>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</si>
  <si>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</si>
  <si>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</si>
  <si>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</si>
  <si>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</si>
  <si>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</si>
  <si>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</si>
  <si>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</si>
  <si>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</si>
  <si>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</si>
  <si>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</si>
  <si>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</si>
  <si>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</si>
  <si>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</si>
  <si>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</si>
  <si>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</si>
  <si>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</si>
  <si>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</si>
  <si>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</si>
  <si>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</si>
  <si>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</si>
  <si>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</si>
  <si>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</si>
  <si>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</si>
  <si>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</si>
  <si>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</si>
  <si>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</si>
  <si>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</si>
  <si>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</si>
  <si>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</si>
  <si>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</si>
  <si>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</si>
  <si>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</si>
  <si>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</si>
  <si>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</si>
  <si>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</si>
  <si>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</si>
  <si>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</si>
  <si>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</si>
  <si>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</si>
  <si>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</si>
  <si>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</si>
  <si>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</si>
  <si>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</si>
  <si>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</si>
  <si>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</si>
  <si>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</si>
  <si>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</si>
  <si>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</si>
  <si>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</si>
  <si>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</si>
  <si>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</si>
  <si>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</si>
  <si>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</si>
  <si>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</si>
  <si>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</si>
  <si>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</si>
  <si>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</si>
  <si>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</si>
  <si>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</si>
  <si>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</si>
  <si>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</si>
  <si>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</si>
  <si>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</si>
  <si>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</si>
  <si>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</si>
  <si>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</si>
  <si>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</si>
  <si>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</si>
  <si>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</si>
  <si>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</si>
  <si>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</si>
  <si>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</si>
  <si>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</si>
  <si>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</si>
  <si>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</si>
  <si>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</si>
  <si>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</si>
  <si>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</si>
  <si>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</si>
  <si>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</si>
  <si>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</si>
  <si>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</si>
  <si>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</si>
  <si>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</si>
  <si>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</si>
  <si>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</si>
  <si>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</si>
  <si>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</si>
  <si>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</si>
  <si>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</si>
  <si>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</si>
  <si>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</si>
  <si>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</si>
  <si>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</si>
  <si>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</si>
  <si>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</si>
  <si>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</si>
  <si>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</si>
  <si>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</si>
  <si>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</si>
  <si>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</si>
  <si>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</si>
  <si>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</si>
  <si>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</si>
  <si>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</si>
  <si>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</si>
  <si>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</si>
  <si>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</si>
  <si>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</si>
  <si>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</si>
  <si>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</si>
  <si>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</si>
  <si>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</si>
  <si>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</si>
  <si>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</si>
  <si>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</si>
  <si>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</si>
  <si>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</si>
  <si>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</si>
  <si>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</si>
  <si>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</si>
  <si>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</si>
  <si>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</si>
  <si>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</si>
  <si>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</si>
  <si>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</si>
  <si>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</si>
  <si>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</si>
  <si>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</si>
  <si>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</si>
  <si>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</si>
  <si>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</si>
  <si>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</si>
  <si>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</si>
  <si>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</si>
  <si>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</si>
  <si>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</si>
  <si>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</si>
  <si>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</si>
  <si>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</si>
  <si>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</si>
  <si>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</si>
  <si>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</si>
  <si>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</si>
  <si>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</si>
  <si>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</si>
  <si>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</si>
  <si>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</si>
  <si>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</si>
  <si>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</si>
  <si>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</si>
  <si>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</si>
  <si>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</si>
  <si>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</si>
  <si>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</si>
  <si>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</si>
  <si>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</si>
  <si>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</si>
  <si>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</si>
  <si>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</si>
  <si>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</si>
  <si>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</si>
  <si>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</si>
  <si>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</si>
  <si>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</si>
  <si>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</si>
  <si>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</si>
  <si>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</si>
  <si>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</si>
  <si>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</si>
  <si>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</si>
  <si>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</si>
  <si>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</si>
  <si>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</si>
  <si>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</si>
  <si>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</si>
  <si>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</si>
  <si>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</si>
  <si>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</si>
  <si>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</si>
  <si>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</si>
  <si>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</si>
  <si>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</si>
  <si>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</si>
  <si>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</si>
  <si>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</si>
  <si>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</si>
  <si>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</si>
  <si>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</si>
  <si>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</si>
  <si>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</si>
  <si>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</si>
  <si>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</si>
  <si>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</si>
  <si>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</si>
  <si>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</si>
  <si>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</si>
  <si>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</si>
  <si>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</si>
  <si>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</si>
  <si>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</si>
  <si>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</si>
  <si>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</si>
  <si>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</si>
  <si>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</si>
  <si>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</si>
  <si>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</si>
  <si>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</si>
  <si>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</si>
  <si>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</si>
  <si>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</si>
  <si>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</si>
  <si>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</si>
  <si>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</si>
  <si>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</si>
  <si>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</si>
  <si>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</si>
  <si>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</si>
  <si>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</si>
  <si>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</si>
  <si>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</si>
  <si>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</si>
  <si>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</si>
  <si>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</si>
  <si>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</si>
  <si>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</si>
  <si>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</si>
  <si>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</si>
  <si>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</si>
  <si>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</si>
  <si>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</si>
  <si>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</si>
  <si>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</si>
  <si>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</si>
  <si>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</si>
  <si>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</si>
  <si>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</si>
  <si>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</si>
  <si>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</si>
  <si>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</si>
  <si>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</si>
  <si>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</si>
  <si>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</si>
  <si>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</si>
  <si>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</si>
  <si>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</si>
  <si>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</si>
  <si>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</si>
  <si>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</si>
  <si>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</si>
  <si>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</si>
  <si>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</si>
  <si>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</si>
  <si>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</si>
  <si>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</si>
  <si>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</si>
  <si>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</si>
  <si>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</si>
  <si>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</si>
  <si>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</si>
  <si>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</si>
  <si>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</si>
  <si>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</si>
  <si>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</si>
  <si>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</si>
  <si>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</si>
  <si>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</si>
  <si>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</si>
  <si>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</si>
  <si>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</si>
  <si>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</si>
  <si>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</si>
  <si>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</si>
  <si>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</si>
  <si>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</si>
  <si>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</si>
  <si>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</si>
  <si>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</si>
  <si>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</si>
  <si>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</si>
  <si>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</si>
  <si>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</si>
  <si>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</si>
  <si>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</si>
  <si>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</si>
  <si>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</si>
  <si>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</si>
  <si>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</si>
  <si>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</si>
  <si>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</si>
  <si>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</si>
  <si>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</si>
  <si>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</si>
  <si>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</si>
  <si>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</si>
  <si>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</si>
  <si>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</si>
  <si>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</si>
  <si>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</si>
  <si>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</si>
  <si>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</si>
  <si>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</si>
  <si>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</si>
  <si>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</si>
  <si>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</si>
  <si>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</si>
  <si>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</si>
  <si>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</si>
  <si>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</si>
  <si>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</si>
  <si>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</si>
  <si>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</si>
  <si>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</si>
  <si>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</si>
  <si>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</si>
  <si>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</si>
  <si>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</si>
  <si>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</si>
  <si>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</si>
  <si>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</si>
  <si>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</si>
  <si>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</si>
  <si>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</si>
  <si>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</si>
  <si>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</si>
  <si>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</si>
  <si>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</si>
  <si>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</si>
  <si>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</si>
  <si>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</si>
  <si>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</si>
  <si>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</si>
  <si>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</si>
  <si>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</si>
  <si>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</si>
  <si>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</si>
  <si>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</si>
  <si>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</si>
  <si>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</si>
  <si>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</si>
  <si>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</si>
  <si>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</si>
  <si>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</si>
  <si>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</si>
  <si>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</si>
  <si>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</si>
  <si>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</si>
  <si>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</si>
  <si>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</si>
  <si>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</si>
  <si>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</si>
  <si>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</si>
  <si>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</si>
  <si>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</si>
  <si>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</si>
  <si>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</si>
  <si>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</si>
  <si>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</si>
  <si>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</si>
  <si>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</si>
  <si>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</si>
  <si>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</si>
  <si>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</si>
  <si>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</si>
  <si>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</si>
  <si>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</si>
  <si>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</si>
  <si>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</si>
  <si>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</si>
  <si>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</si>
  <si>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</si>
  <si>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</si>
  <si>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</si>
  <si>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</si>
  <si>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</si>
  <si>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</si>
  <si>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</si>
  <si>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</si>
  <si>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</si>
  <si>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</si>
  <si>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</si>
  <si>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</si>
  <si>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</si>
  <si>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</si>
  <si>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</si>
  <si>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</si>
  <si>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</si>
  <si>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</si>
  <si>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</si>
  <si>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</si>
  <si>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</si>
  <si>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</si>
  <si>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</si>
  <si>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</si>
  <si>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</si>
  <si>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</si>
  <si>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</si>
  <si>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</si>
  <si>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</si>
  <si>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</si>
  <si>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</si>
  <si>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</si>
  <si>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</si>
  <si>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</si>
  <si>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</si>
  <si>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</si>
  <si>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</si>
  <si>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</si>
  <si>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</si>
  <si>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</si>
  <si>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</si>
  <si>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</si>
  <si>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</si>
  <si>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</si>
  <si>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</si>
  <si>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</si>
  <si>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</si>
  <si>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</si>
  <si>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</si>
  <si>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</si>
  <si>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</si>
  <si>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</si>
  <si>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</si>
  <si>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</si>
  <si>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</si>
  <si>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</si>
  <si>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</si>
  <si>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</si>
  <si>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</si>
  <si>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</si>
  <si>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</si>
  <si>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</si>
  <si>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</si>
  <si>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</si>
  <si>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</si>
  <si>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</si>
  <si>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</si>
  <si>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</si>
  <si>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</si>
  <si>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</si>
  <si>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</si>
  <si>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</si>
  <si>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</si>
  <si>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</si>
  <si>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</si>
  <si>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</si>
  <si>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</si>
  <si>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</si>
  <si>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</si>
  <si>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</si>
  <si>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</si>
  <si>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</si>
  <si>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</si>
  <si>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</si>
  <si>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</si>
  <si>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</si>
  <si>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</si>
  <si>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</si>
  <si>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</si>
  <si>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</si>
  <si>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</si>
  <si>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</si>
  <si>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</si>
  <si>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</si>
  <si>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</si>
  <si>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</si>
  <si>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</si>
  <si>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</si>
  <si>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</si>
  <si>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</si>
  <si>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</si>
  <si>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</si>
  <si>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</si>
  <si>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</si>
  <si>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</si>
  <si>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</si>
  <si>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</si>
  <si>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</si>
  <si>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</si>
  <si>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</si>
  <si>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</si>
  <si>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</si>
  <si>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</si>
  <si>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</si>
  <si>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</si>
  <si>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</si>
  <si>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</si>
  <si>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</si>
  <si>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</si>
  <si>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</si>
  <si>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</si>
  <si>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</si>
  <si>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</si>
  <si>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</si>
  <si>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</si>
  <si>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</si>
  <si>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</si>
  <si>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</si>
  <si>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</si>
  <si>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</si>
  <si>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</si>
  <si>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</si>
  <si>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</si>
  <si>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</si>
  <si>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</si>
  <si>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</si>
  <si>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</si>
  <si>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</si>
  <si>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</si>
  <si>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</si>
  <si>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</si>
  <si>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</si>
  <si>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</si>
  <si>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</si>
  <si>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</si>
  <si>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</si>
  <si>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</si>
  <si>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</si>
  <si>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</si>
  <si>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</si>
  <si>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</si>
  <si>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</si>
  <si>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</si>
  <si>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</si>
  <si>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</si>
  <si>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</si>
  <si>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</si>
  <si>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</si>
  <si>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</si>
  <si>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</si>
  <si>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</si>
  <si>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</si>
  <si>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</si>
  <si>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</si>
  <si>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</si>
  <si>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</si>
  <si>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</si>
  <si>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</si>
  <si>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</si>
  <si>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</si>
  <si>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</si>
  <si>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</si>
  <si>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</si>
  <si>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</si>
  <si>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</si>
  <si>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</si>
  <si>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</si>
  <si>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</si>
  <si>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</si>
  <si>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</si>
  <si>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</si>
  <si>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</si>
  <si>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</si>
  <si>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</si>
  <si>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</si>
  <si>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</si>
  <si>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</si>
  <si>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</si>
  <si>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</si>
  <si>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</si>
  <si>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</si>
  <si>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</si>
  <si>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</si>
  <si>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</si>
  <si>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</si>
  <si>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</si>
  <si>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</si>
  <si>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</si>
  <si>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</si>
  <si>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</si>
  <si>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</si>
  <si>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</si>
  <si>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</si>
  <si>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</si>
  <si>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</si>
  <si>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</si>
  <si>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</si>
  <si>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</si>
  <si>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</si>
  <si>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</si>
  <si>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</si>
  <si>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</si>
  <si>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</si>
  <si>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</si>
  <si>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</si>
  <si>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</si>
  <si>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</si>
  <si>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</si>
  <si>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</si>
  <si>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</si>
  <si>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</si>
  <si>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</si>
  <si>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</si>
  <si>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</si>
  <si>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</si>
  <si>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</si>
  <si>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</si>
  <si>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</si>
  <si>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</si>
  <si>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</si>
  <si>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</si>
  <si>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</si>
  <si>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</si>
  <si>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</si>
  <si>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</si>
  <si>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</si>
  <si>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</si>
  <si>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</si>
  <si>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</si>
  <si>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</si>
  <si>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</si>
  <si>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</si>
  <si>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</si>
  <si>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</si>
  <si>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</si>
  <si>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</si>
  <si>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</si>
  <si>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</si>
  <si>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</si>
  <si>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</si>
  <si>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</si>
  <si>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</si>
  <si>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</si>
  <si>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</si>
  <si>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</si>
  <si>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</si>
  <si>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</si>
  <si>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</si>
  <si>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</si>
  <si>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</si>
  <si>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</si>
  <si>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</si>
  <si>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</si>
  <si>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</si>
  <si>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</si>
  <si>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</si>
  <si>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</si>
  <si>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</si>
  <si>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</si>
  <si>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</si>
  <si>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</si>
  <si>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</si>
  <si>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</si>
  <si>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</si>
  <si>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</si>
  <si>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</si>
  <si>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</si>
  <si>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</si>
  <si>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</si>
  <si>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</si>
  <si>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</si>
  <si>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</si>
  <si>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</si>
  <si>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</si>
  <si>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</si>
  <si>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</si>
  <si>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</si>
  <si>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</si>
  <si>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</si>
  <si>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</si>
  <si>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</si>
  <si>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</si>
  <si>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</si>
  <si>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</si>
  <si>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</si>
  <si>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</si>
  <si>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</si>
  <si>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</si>
  <si>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</si>
  <si>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</si>
  <si>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</si>
  <si>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</si>
  <si>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</si>
  <si>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</si>
  <si>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</si>
  <si>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</si>
  <si>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</si>
  <si>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</si>
  <si>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</si>
  <si>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</si>
  <si>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</si>
  <si>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</si>
  <si>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</si>
  <si>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</si>
  <si>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</si>
  <si>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</si>
  <si>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</si>
  <si>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</si>
  <si>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</si>
  <si>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</si>
  <si>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</si>
  <si>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</si>
  <si>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</si>
  <si>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</si>
  <si>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</si>
  <si>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</si>
  <si>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</si>
  <si>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</si>
  <si>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</si>
  <si>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</si>
  <si>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</si>
  <si>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</si>
  <si>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</si>
  <si>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</si>
  <si>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</si>
  <si>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</si>
  <si>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</si>
  <si>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</si>
  <si>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</si>
  <si>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</si>
  <si>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</si>
  <si>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</si>
  <si>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</si>
  <si>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</si>
  <si>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</si>
  <si>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</si>
  <si>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</si>
  <si>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</si>
  <si>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</si>
  <si>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</si>
  <si>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</si>
  <si>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</si>
  <si>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</si>
  <si>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</si>
  <si>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</si>
  <si>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</si>
  <si>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</si>
  <si>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</si>
  <si>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</si>
  <si>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</si>
  <si>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</si>
  <si>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</si>
  <si>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</si>
  <si>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</si>
  <si>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</si>
  <si>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</si>
  <si>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</si>
  <si>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</si>
  <si>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</si>
  <si>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</si>
  <si>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</si>
  <si>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</si>
  <si>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</si>
  <si>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</si>
  <si>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</si>
  <si>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</si>
  <si>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</si>
  <si>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</si>
  <si>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</si>
  <si>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</si>
  <si>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</si>
  <si>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</si>
  <si>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</si>
  <si>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</si>
  <si>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</si>
  <si>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</si>
  <si>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</si>
  <si>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</si>
  <si>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</si>
  <si>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</si>
  <si>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</si>
  <si>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</si>
  <si>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</si>
  <si>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</si>
  <si>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</si>
  <si>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</si>
  <si>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</si>
  <si>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</si>
  <si>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</si>
  <si>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</si>
  <si>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</si>
  <si>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</si>
  <si>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</si>
  <si>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</si>
  <si>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</si>
  <si>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</si>
  <si>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</si>
  <si>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</si>
  <si>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</si>
  <si>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</si>
  <si>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</si>
  <si>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</si>
  <si>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</si>
  <si>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</si>
  <si>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</si>
  <si>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</si>
  <si>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</si>
  <si>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</si>
  <si>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</si>
  <si>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</si>
  <si>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</si>
  <si>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</si>
  <si>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</si>
  <si>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</si>
  <si>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</si>
  <si>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</si>
  <si>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</si>
  <si>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</si>
  <si>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</si>
  <si>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</si>
  <si>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</si>
  <si>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</si>
  <si>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</si>
  <si>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</si>
  <si>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</si>
  <si>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</si>
  <si>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</si>
  <si>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</si>
  <si>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</si>
  <si>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</si>
  <si>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</si>
  <si>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</si>
  <si>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</si>
  <si>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</si>
  <si>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</si>
  <si>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</si>
  <si>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</si>
  <si>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</si>
  <si>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</si>
  <si>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</si>
  <si>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</si>
  <si>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</si>
  <si>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</si>
  <si>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</si>
  <si>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</si>
  <si>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</si>
  <si>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</si>
  <si>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</si>
  <si>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</si>
  <si>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</si>
  <si>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</si>
  <si>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</si>
  <si>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</si>
  <si>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</si>
  <si>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</si>
  <si>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</si>
  <si>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</si>
  <si>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</si>
  <si>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</si>
  <si>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</si>
  <si>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</si>
  <si>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</si>
  <si>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</si>
  <si>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</si>
  <si>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</si>
  <si>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</si>
  <si>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</si>
  <si>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</si>
  <si>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</si>
  <si>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</si>
  <si>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</si>
  <si>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</si>
  <si>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</si>
  <si>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</si>
  <si>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</si>
  <si>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</si>
  <si>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</si>
  <si>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</si>
  <si>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</si>
  <si>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</si>
  <si>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</si>
  <si>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</si>
  <si>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</si>
  <si>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</si>
  <si>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</si>
  <si>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</si>
  <si>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</si>
  <si>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海淀区远大园六区部分商业用房</t>
    <phoneticPr fontId="6" type="noConversion"/>
  </si>
  <si>
    <t>企业</t>
  </si>
  <si>
    <t>北京市四季青农工商总公司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</si>
  <si>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</si>
  <si>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</si>
  <si>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</si>
  <si>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是</t>
  </si>
  <si>
    <t>地上</t>
  </si>
  <si>
    <t>地下</t>
  </si>
  <si>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</si>
  <si>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</si>
  <si>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</si>
  <si>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</si>
  <si>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</si>
  <si>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</si>
  <si>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楼层</t>
    <phoneticPr fontId="3" type="noConversion"/>
  </si>
  <si>
    <t>面积</t>
    <phoneticPr fontId="3" type="noConversion"/>
  </si>
  <si>
    <t>系数</t>
    <phoneticPr fontId="3" type="noConversion"/>
  </si>
  <si>
    <t>租金</t>
    <phoneticPr fontId="3" type="noConversion"/>
  </si>
  <si>
    <t>收益</t>
    <phoneticPr fontId="3" type="noConversion"/>
  </si>
  <si>
    <t>收益法</t>
  </si>
  <si>
    <t>利息：取LPR加浮动点数</t>
  </si>
  <si>
    <t>较好</t>
    <phoneticPr fontId="40" type="noConversion"/>
  </si>
  <si>
    <t>较好</t>
    <phoneticPr fontId="24" type="noConversion"/>
  </si>
  <si>
    <t>较好</t>
    <phoneticPr fontId="40" type="noConversion"/>
  </si>
  <si>
    <t>七通</t>
    <phoneticPr fontId="24" type="noConversion"/>
  </si>
  <si>
    <t>成本法</t>
  </si>
  <si>
    <t>估价对象容积率</t>
  </si>
  <si>
    <t>不临65条商业街</t>
  </si>
  <si>
    <t>通路</t>
  </si>
  <si>
    <t>通电</t>
  </si>
  <si>
    <t>通讯</t>
  </si>
  <si>
    <t>通上水</t>
  </si>
  <si>
    <t>通下水</t>
  </si>
  <si>
    <t>平整</t>
  </si>
  <si>
    <t>楼层修正</t>
  </si>
  <si>
    <t>未包含在土地购买价格中</t>
  </si>
  <si>
    <t>全部缴纳</t>
  </si>
  <si>
    <t>已包含在土地取得成本中</t>
  </si>
  <si>
    <t>押一</t>
  </si>
  <si>
    <t>钢混</t>
  </si>
  <si>
    <t>非生产用房</t>
  </si>
  <si>
    <t>否</t>
  </si>
  <si>
    <t>总价</t>
  </si>
  <si>
    <t>成本比率</t>
  </si>
  <si>
    <t>通热</t>
  </si>
  <si>
    <t xml:space="preserve"> </t>
    <phoneticPr fontId="3" type="noConversion"/>
  </si>
  <si>
    <r>
      <t xml:space="preserve"> </t>
    </r>
    <r>
      <rPr>
        <sz val="10"/>
        <color indexed="8"/>
        <rFont val="宋体"/>
        <family val="3"/>
        <charset val="134"/>
      </rPr>
      <t>办公</t>
    </r>
    <phoneticPr fontId="3" type="noConversion"/>
  </si>
  <si>
    <t>楼层</t>
    <phoneticPr fontId="3" type="noConversion"/>
  </si>
  <si>
    <t>面积</t>
    <phoneticPr fontId="3" type="noConversion"/>
  </si>
  <si>
    <t>系数</t>
    <phoneticPr fontId="3" type="noConversion"/>
  </si>
  <si>
    <t>单价</t>
    <phoneticPr fontId="3" type="noConversion"/>
  </si>
  <si>
    <t>售价</t>
  </si>
  <si>
    <t>单套模式</t>
  </si>
  <si>
    <r>
      <t>2</t>
    </r>
    <r>
      <rPr>
        <sz val="10"/>
        <color indexed="8"/>
        <rFont val="宋体"/>
        <family val="3"/>
        <charset val="134"/>
      </rPr>
      <t>层</t>
    </r>
    <phoneticPr fontId="24" type="noConversion"/>
  </si>
  <si>
    <t>地下</t>
    <phoneticPr fontId="24" type="noConversion"/>
  </si>
  <si>
    <t>典型户型修正</t>
  </si>
  <si>
    <t>购房发票</t>
  </si>
  <si>
    <t>2016年5月1日前购买</t>
  </si>
  <si>
    <t>情况4</t>
  </si>
  <si>
    <t>正常</t>
  </si>
  <si>
    <t>转让取得</t>
  </si>
  <si>
    <t>非个人房产</t>
  </si>
  <si>
    <t>云会里金雅园</t>
    <phoneticPr fontId="134" type="noConversion"/>
  </si>
  <si>
    <t>万寿寺甲2号院</t>
    <phoneticPr fontId="134" type="noConversion"/>
  </si>
  <si>
    <t>总价</t>
    <phoneticPr fontId="134" type="noConversion"/>
  </si>
  <si>
    <t>单价</t>
    <phoneticPr fontId="134" type="noConversion"/>
  </si>
  <si>
    <t>面积</t>
    <phoneticPr fontId="134" type="noConversion"/>
  </si>
  <si>
    <t>楼层</t>
    <phoneticPr fontId="134" type="noConversion"/>
  </si>
  <si>
    <t>装修</t>
    <phoneticPr fontId="134" type="noConversion"/>
  </si>
  <si>
    <t>普通装修</t>
  </si>
  <si>
    <t>普通装修</t>
    <phoneticPr fontId="134" type="noConversion"/>
  </si>
  <si>
    <t>远大园六区</t>
    <phoneticPr fontId="3" type="noConversion"/>
  </si>
  <si>
    <t>挂牌</t>
  </si>
  <si>
    <t>挂牌</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</si>
  <si>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</si>
  <si>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</si>
  <si>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</si>
  <si>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</si>
  <si>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</si>
  <si>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</si>
  <si>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</si>
  <si>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</si>
  <si>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</si>
  <si>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phoneticPr fontId="30" type="noConversion"/>
  </si>
  <si>
    <t>大</t>
    <phoneticPr fontId="30" type="noConversion"/>
  </si>
  <si>
    <t>较大</t>
  </si>
  <si>
    <t>较大</t>
    <phoneticPr fontId="30" type="noConversion"/>
  </si>
  <si>
    <t>一般</t>
    <phoneticPr fontId="30" type="noConversion"/>
  </si>
  <si>
    <t>较小</t>
    <phoneticPr fontId="30" type="noConversion"/>
  </si>
  <si>
    <t>1-2</t>
    <phoneticPr fontId="30" type="noConversion"/>
  </si>
  <si>
    <t>住宅配套</t>
  </si>
  <si>
    <t>住宅配套</t>
    <phoneticPr fontId="30" type="noConversion"/>
  </si>
  <si>
    <t>钢混</t>
    <phoneticPr fontId="30" type="noConversion"/>
  </si>
  <si>
    <t>可做餐饮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</si>
  <si>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</si>
  <si>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</si>
  <si>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</si>
  <si>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</si>
  <si>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</si>
  <si>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</si>
  <si>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精装修</t>
    <phoneticPr fontId="30" type="noConversion"/>
  </si>
  <si>
    <t>普通装修</t>
    <phoneticPr fontId="30" type="noConversion"/>
  </si>
  <si>
    <t>简单装修</t>
    <phoneticPr fontId="30" type="noConversion"/>
  </si>
  <si>
    <t>毛坯</t>
    <phoneticPr fontId="30" type="noConversion"/>
  </si>
  <si>
    <t>商业</t>
    <phoneticPr fontId="30" type="noConversion"/>
  </si>
  <si>
    <t>蜂鸟家园</t>
    <phoneticPr fontId="134" type="noConversion"/>
  </si>
  <si>
    <t>1</t>
    <phoneticPr fontId="134" type="noConversion"/>
  </si>
  <si>
    <t>30-40</t>
    <phoneticPr fontId="30" type="noConversion"/>
  </si>
  <si>
    <t>20-30</t>
    <phoneticPr fontId="30" type="noConversion"/>
  </si>
  <si>
    <t>10-20</t>
    <phoneticPr fontId="30" type="noConversion"/>
  </si>
  <si>
    <t>七通</t>
  </si>
  <si>
    <t>六通</t>
  </si>
  <si>
    <t>独立商业</t>
  </si>
  <si>
    <t>现房</t>
  </si>
  <si>
    <t>项目全部</t>
  </si>
  <si>
    <t>同一抵押权人同一抵押物续贷</t>
  </si>
  <si>
    <t>装修</t>
    <phoneticPr fontId="3" type="noConversion"/>
  </si>
  <si>
    <t>普通装修</t>
    <phoneticPr fontId="24" type="noConversion"/>
  </si>
  <si>
    <t>与级别开发程度不一致</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</si>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</sst>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44" fillId="5" borderId="24" xfId="0"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horizontal="left" vertical="center"/>
      <protection locked="0"/>
    </xf>
    <xf numFmtId="0" fontId="77" fillId="0" borderId="1" xfId="0" applyFont="1" applyBorder="1" applyProtection="1">
      <alignment vertical="center"/>
      <protection locked="0"/>
    </xf>
    <xf numFmtId="0" fontId="95" fillId="0" borderId="0" xfId="0" applyFont="1">
      <alignment vertical="center"/>
    </xf>
    <xf numFmtId="49" fontId="95" fillId="0" borderId="0" xfId="0" applyNumberFormat="1"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85725</xdr:rowOff>
    </xdr:from>
    <xdr:to>
      <xdr:col>11</xdr:col>
      <xdr:colOff>237153</xdr:colOff>
      <xdr:row>84</xdr:row>
      <xdr:rowOff>75366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72425"/>
          <a:ext cx="7780953" cy="6676191"/>
        </a:xfrm>
        <a:prstGeom prst="rect">
          <a:avLst/>
        </a:prstGeom>
      </xdr:spPr>
    </xdr:pic>
    <xdr:clientData/>
  </xdr:twoCellAnchor>
  <xdr:twoCellAnchor editAs="oneCell">
    <xdr:from>
      <xdr:col>17</xdr:col>
      <xdr:colOff>542926</xdr:colOff>
      <xdr:row>0</xdr:row>
      <xdr:rowOff>0</xdr:rowOff>
    </xdr:from>
    <xdr:to>
      <xdr:col>38</xdr:col>
      <xdr:colOff>180976</xdr:colOff>
      <xdr:row>23</xdr:row>
      <xdr:rowOff>99058</xdr:rowOff>
    </xdr:to>
    <xdr:pic>
      <xdr:nvPicPr>
        <xdr:cNvPr id="3" name="图片 2"/>
        <xdr:cNvPicPr>
          <a:picLocks noChangeAspect="1"/>
        </xdr:cNvPicPr>
      </xdr:nvPicPr>
      <xdr:blipFill>
        <a:blip xmlns:r="http://schemas.openxmlformats.org/officeDocument/2006/relationships" r:embed="rId2"/>
        <a:stretch>
          <a:fillRect/>
        </a:stretch>
      </xdr:blipFill>
      <xdr:spPr>
        <a:xfrm>
          <a:off x="12201526" y="0"/>
          <a:ext cx="14039850" cy="4042408"/>
        </a:xfrm>
        <a:prstGeom prst="rect">
          <a:avLst/>
        </a:prstGeom>
      </xdr:spPr>
    </xdr:pic>
    <xdr:clientData/>
  </xdr:twoCellAnchor>
  <xdr:twoCellAnchor editAs="oneCell">
    <xdr:from>
      <xdr:col>0</xdr:col>
      <xdr:colOff>0</xdr:colOff>
      <xdr:row>4</xdr:row>
      <xdr:rowOff>133351</xdr:rowOff>
    </xdr:from>
    <xdr:to>
      <xdr:col>10</xdr:col>
      <xdr:colOff>33628</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0601"/>
          <a:ext cx="6891628" cy="5734050"/>
        </a:xfrm>
        <a:prstGeom prst="rect">
          <a:avLst/>
        </a:prstGeom>
      </xdr:spPr>
    </xdr:pic>
    <xdr:clientData/>
  </xdr:twoCellAnchor>
  <xdr:twoCellAnchor editAs="oneCell">
    <xdr:from>
      <xdr:col>9</xdr:col>
      <xdr:colOff>600075</xdr:colOff>
      <xdr:row>0</xdr:row>
      <xdr:rowOff>0</xdr:rowOff>
    </xdr:from>
    <xdr:to>
      <xdr:col>20</xdr:col>
      <xdr:colOff>494371</xdr:colOff>
      <xdr:row>35</xdr:row>
      <xdr:rowOff>27822</xdr:rowOff>
    </xdr:to>
    <xdr:pic>
      <xdr:nvPicPr>
        <xdr:cNvPr id="5" name="图片 4"/>
        <xdr:cNvPicPr>
          <a:picLocks noChangeAspect="1"/>
        </xdr:cNvPicPr>
      </xdr:nvPicPr>
      <xdr:blipFill>
        <a:blip xmlns:r="http://schemas.openxmlformats.org/officeDocument/2006/relationships" r:embed="rId4"/>
        <a:stretch>
          <a:fillRect/>
        </a:stretch>
      </xdr:blipFill>
      <xdr:spPr>
        <a:xfrm>
          <a:off x="6772275" y="0"/>
          <a:ext cx="7438096" cy="6028572"/>
        </a:xfrm>
        <a:prstGeom prst="rect">
          <a:avLst/>
        </a:prstGeom>
      </xdr:spPr>
    </xdr:pic>
    <xdr:clientData/>
  </xdr:twoCellAnchor>
  <xdr:twoCellAnchor editAs="oneCell">
    <xdr:from>
      <xdr:col>7</xdr:col>
      <xdr:colOff>419100</xdr:colOff>
      <xdr:row>38</xdr:row>
      <xdr:rowOff>133350</xdr:rowOff>
    </xdr:from>
    <xdr:to>
      <xdr:col>18</xdr:col>
      <xdr:colOff>246729</xdr:colOff>
      <xdr:row>74</xdr:row>
      <xdr:rowOff>65912</xdr:rowOff>
    </xdr:to>
    <xdr:pic>
      <xdr:nvPicPr>
        <xdr:cNvPr id="6" name="图片 5"/>
        <xdr:cNvPicPr>
          <a:picLocks noChangeAspect="1"/>
        </xdr:cNvPicPr>
      </xdr:nvPicPr>
      <xdr:blipFill>
        <a:blip xmlns:r="http://schemas.openxmlformats.org/officeDocument/2006/relationships" r:embed="rId5"/>
        <a:stretch>
          <a:fillRect/>
        </a:stretch>
      </xdr:blipFill>
      <xdr:spPr>
        <a:xfrm>
          <a:off x="5219700" y="6648450"/>
          <a:ext cx="7371429" cy="6104762"/>
        </a:xfrm>
        <a:prstGeom prst="rect">
          <a:avLst/>
        </a:prstGeom>
      </xdr:spPr>
    </xdr:pic>
    <xdr:clientData/>
  </xdr:twoCellAnchor>
  <xdr:twoCellAnchor editAs="oneCell">
    <xdr:from>
      <xdr:col>13</xdr:col>
      <xdr:colOff>657225</xdr:colOff>
      <xdr:row>18</xdr:row>
      <xdr:rowOff>69796</xdr:rowOff>
    </xdr:from>
    <xdr:to>
      <xdr:col>23</xdr:col>
      <xdr:colOff>322935</xdr:colOff>
      <xdr:row>56</xdr:row>
      <xdr:rowOff>103856</xdr:rowOff>
    </xdr:to>
    <xdr:pic>
      <xdr:nvPicPr>
        <xdr:cNvPr id="7" name="图片 6"/>
        <xdr:cNvPicPr>
          <a:picLocks noChangeAspect="1"/>
        </xdr:cNvPicPr>
      </xdr:nvPicPr>
      <xdr:blipFill>
        <a:blip xmlns:r="http://schemas.openxmlformats.org/officeDocument/2006/relationships" r:embed="rId6"/>
        <a:stretch>
          <a:fillRect/>
        </a:stretch>
      </xdr:blipFill>
      <xdr:spPr>
        <a:xfrm>
          <a:off x="9572625" y="3155896"/>
          <a:ext cx="6523710" cy="6549160"/>
        </a:xfrm>
        <a:prstGeom prst="rect">
          <a:avLst/>
        </a:prstGeom>
      </xdr:spPr>
    </xdr:pic>
    <xdr:clientData/>
  </xdr:twoCellAnchor>
  <xdr:twoCellAnchor editAs="oneCell">
    <xdr:from>
      <xdr:col>5</xdr:col>
      <xdr:colOff>657225</xdr:colOff>
      <xdr:row>4</xdr:row>
      <xdr:rowOff>47625</xdr:rowOff>
    </xdr:from>
    <xdr:to>
      <xdr:col>16</xdr:col>
      <xdr:colOff>380092</xdr:colOff>
      <xdr:row>37</xdr:row>
      <xdr:rowOff>18347</xdr:rowOff>
    </xdr:to>
    <xdr:pic>
      <xdr:nvPicPr>
        <xdr:cNvPr id="8" name="图片 7"/>
        <xdr:cNvPicPr>
          <a:picLocks noChangeAspect="1"/>
        </xdr:cNvPicPr>
      </xdr:nvPicPr>
      <xdr:blipFill>
        <a:blip xmlns:r="http://schemas.openxmlformats.org/officeDocument/2006/relationships" r:embed="rId7"/>
        <a:stretch>
          <a:fillRect/>
        </a:stretch>
      </xdr:blipFill>
      <xdr:spPr>
        <a:xfrm>
          <a:off x="4086225" y="733425"/>
          <a:ext cx="7266667"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北京市海淀区远大园六区部分商业用房房地产抵押价值预评估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受贵公司委托，我公司对北京市海淀区远大园六区部分商业用房房地产抵押价值进行了预评估。</v>
      </c>
    </row>
    <row r="7" spans="1:2" s="1203" customFormat="1">
      <c r="A7" s="1201" t="s">
        <v>566</v>
      </c>
      <c r="B7" s="1202" t="str">
        <f>'预评函-1'!A7</f>
        <v>估价对象为北京市海淀区远大园六区部分商业用房房地产，为北京市四季青农工商总公司所有。根据《国有土地使用证》[]，估价对象（分摊）出让国有建设用地使用权面积为10358.12平方米，建筑面积为19397.46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61233</v>
      </c>
    </row>
    <row r="21" spans="1:2" s="1203" customFormat="1">
      <c r="A21" s="1201" t="s">
        <v>537</v>
      </c>
      <c r="B21" s="1202">
        <f ca="1">'预评函-2'!D7</f>
        <v>31568</v>
      </c>
    </row>
    <row r="22" spans="1:2" s="1203" customFormat="1">
      <c r="A22" s="1201" t="s">
        <v>538</v>
      </c>
      <c r="B22" s="1202" t="str">
        <f ca="1">'预评函-2'!D6</f>
        <v>陆亿壹仟贰佰叁拾叁万元整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61233</v>
      </c>
    </row>
    <row r="31" spans="1:2" s="1203" customFormat="1">
      <c r="A31" s="1201" t="s">
        <v>576</v>
      </c>
      <c r="B31" s="1202">
        <f ca="1">'预评函-2'!D15</f>
        <v>31568</v>
      </c>
    </row>
    <row r="32" spans="1:2" s="1203" customFormat="1">
      <c r="A32" s="1201" t="s">
        <v>543</v>
      </c>
      <c r="B32" s="1202" t="str">
        <f ca="1">'预评函-2'!D14</f>
        <v>陆亿壹仟贰佰叁拾叁万元整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39088</v>
      </c>
    </row>
    <row r="39" spans="1:2" s="1203" customFormat="1">
      <c r="A39" s="1201" t="s">
        <v>545</v>
      </c>
      <c r="B39" s="1202">
        <f ca="1">'预评函-2'!D21</f>
        <v>20151</v>
      </c>
    </row>
    <row r="40" spans="1:2" s="1203" customFormat="1">
      <c r="A40" s="1201" t="s">
        <v>546</v>
      </c>
      <c r="B40" s="1202" t="str">
        <f ca="1">'预评函-2'!D20</f>
        <v>叁亿玖仟零捌拾捌万元整</v>
      </c>
    </row>
    <row r="41" spans="1:2" s="1203" customFormat="1">
      <c r="A41" s="1201" t="s">
        <v>592</v>
      </c>
      <c r="B41" s="1202" t="str">
        <f>'预评函-3'!A4</f>
        <v>北京市海淀区远大园六区部分商业用房房地产</v>
      </c>
    </row>
    <row r="42" spans="1:2" s="1203" customFormat="1">
      <c r="A42" s="1201" t="s">
        <v>590</v>
      </c>
      <c r="B42" s="1202" t="str">
        <f>'预评函-3'!B2</f>
        <v>建筑面积</v>
      </c>
    </row>
    <row r="43" spans="1:2" s="1203" customFormat="1">
      <c r="A43" s="1201" t="s">
        <v>591</v>
      </c>
      <c r="B43" s="1202">
        <f>'预评函-3'!B4</f>
        <v>19397.46</v>
      </c>
    </row>
    <row r="44" spans="1:2" s="1203" customFormat="1">
      <c r="A44" s="1201" t="s">
        <v>575</v>
      </c>
      <c r="B44" s="1202" t="str">
        <f>'预评函-3'!C2</f>
        <v>(分摊)土地面积</v>
      </c>
    </row>
    <row r="45" spans="1:2" s="1203" customFormat="1">
      <c r="A45" s="1201" t="s">
        <v>547</v>
      </c>
      <c r="B45" s="1202">
        <f>'预评函-3'!C4</f>
        <v>10358.120000000001</v>
      </c>
    </row>
    <row r="46" spans="1:2" s="1203" customFormat="1">
      <c r="A46" s="1201" t="s">
        <v>573</v>
      </c>
      <c r="B46" s="1202" t="str">
        <f>'预评函-3'!D2</f>
        <v>出让国有建设用地使用权价值</v>
      </c>
    </row>
    <row r="47" spans="1:2" s="1203" customFormat="1">
      <c r="A47" s="1201" t="s">
        <v>548</v>
      </c>
      <c r="B47" s="1202">
        <f ca="1">'预评函-3'!D4</f>
        <v>51681</v>
      </c>
    </row>
    <row r="48" spans="1:2" s="1203" customFormat="1">
      <c r="A48" s="1201" t="s">
        <v>549</v>
      </c>
      <c r="B48" s="1202">
        <f ca="1">'预评函-3'!E4</f>
        <v>26644</v>
      </c>
    </row>
    <row r="49" spans="1:2" s="1203" customFormat="1">
      <c r="A49" s="1201" t="s">
        <v>550</v>
      </c>
      <c r="B49" s="1202" t="str">
        <f ca="1">'预评函-3'!D5</f>
        <v>伍亿壹仟陆佰捌拾壹万元整</v>
      </c>
    </row>
    <row r="50" spans="1:2" s="1203" customFormat="1">
      <c r="A50" s="1201" t="s">
        <v>574</v>
      </c>
      <c r="B50" s="1202" t="str">
        <f>'预评函-3'!F2</f>
        <v>在建建筑物价值</v>
      </c>
    </row>
    <row r="51" spans="1:2" s="1203" customFormat="1">
      <c r="A51" s="1201" t="s">
        <v>551</v>
      </c>
      <c r="B51" s="1202">
        <f ca="1">'预评函-3'!F4</f>
        <v>9552</v>
      </c>
    </row>
    <row r="52" spans="1:2" s="1203" customFormat="1">
      <c r="A52" s="1201" t="s">
        <v>552</v>
      </c>
      <c r="B52" s="1202">
        <f ca="1">'预评函-3'!G4</f>
        <v>4924</v>
      </c>
    </row>
    <row r="53" spans="1:2" s="1203" customFormat="1">
      <c r="A53" s="1201" t="s">
        <v>580</v>
      </c>
      <c r="B53" s="1202" t="str">
        <f ca="1">'预评函-3'!F5</f>
        <v>玖仟伍佰伍拾贰万元整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2575</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2576</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11" t="s">
        <v>2578</v>
      </c>
      <c r="J2" s="3511"/>
      <c r="K2" s="3511"/>
      <c r="L2" s="3511"/>
      <c r="M2" s="3511"/>
      <c r="N2" s="3511"/>
      <c r="O2" s="3511"/>
      <c r="P2" s="3511"/>
      <c r="Q2" s="3511"/>
      <c r="R2" s="3511"/>
    </row>
    <row r="3" spans="1:18">
      <c r="A3" s="3016" t="s">
        <v>2499</v>
      </c>
      <c r="B3" s="3017">
        <f>项目基本情况!D3</f>
        <v>45023</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3.7</v>
      </c>
      <c r="D5" s="3021">
        <f>IF(ISERROR(ROUND(POWER(1+E5,A5-C5)*(POWER(1+E5,C5)-1)/(POWER(1+E5,A5)-1),3)),0,ROUND(POWER(1+E5,A5-C5)*(POWER(1+E5,C5)-1)/(POWER(1+E5,A5)-1),4))</f>
        <v>0.1706</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13.71</v>
      </c>
      <c r="D6" s="3021">
        <f>IF(ISERROR(ROUND(POWER(1+E6,A6-C6)*(POWER(1+E6,C6)-1)/(POWER(1+E6,A6)-1),3)),0,ROUND(POWER(1+E6,A6-C6)*(POWER(1+E6,C6)-1)/(POWER(1+E6,A6)-1),4))</f>
        <v>0.48399999999999999</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33.72</v>
      </c>
      <c r="D7" s="3021">
        <f>IF(ISERROR(ROUND(POWER(1+E7,A7-C7)*(POWER(1+E7,C7)-1)/(POWER(1+E7,A7)-1),3)),0,ROUND(POWER(1+E7,A7-C7)*(POWER(1+E7,C7)-1)/(POWER(1+E7,A7)-1),4))</f>
        <v>0.78390000000000004</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0" t="str">
        <f>IF(B10="北京市","北京市",C10)&amp;F10&amp;IF(结果表!G1="在建","出让国有建设用地使用权及在建建筑物",IF(结果表!G1="土地","出让国有建设用地使用权",))&amp;B9&amp;"预评估"</f>
        <v>北京市海淀区远大园六区部分商业用房房地产抵押价值预评估</v>
      </c>
      <c r="C1" s="3521"/>
      <c r="D1" s="3521"/>
      <c r="E1" s="3521"/>
      <c r="F1" s="3521"/>
      <c r="G1" s="3521"/>
      <c r="H1" s="3521"/>
      <c r="I1" s="352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北京市海淀区远大园六区部分商业用房房地产抵押价值</v>
      </c>
      <c r="T1" s="1745"/>
      <c r="U1" s="1745"/>
      <c r="V1" s="1745"/>
      <c r="W1" s="1745"/>
      <c r="X1" s="1745"/>
      <c r="Y1" s="1745"/>
      <c r="Z1" s="1745"/>
      <c r="AA1" s="1745"/>
      <c r="AB1" s="1745"/>
    </row>
    <row r="2" spans="1:30">
      <c r="A2" s="2367" t="s">
        <v>2168</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北京市海淀区远大园六区部分商业用房房地产</v>
      </c>
      <c r="T2" s="1745"/>
      <c r="U2" s="1745"/>
      <c r="V2" s="1745"/>
      <c r="W2" s="1745"/>
      <c r="X2" s="1745"/>
      <c r="Y2" s="1745"/>
      <c r="Z2" s="1745"/>
      <c r="AA2" s="1745"/>
      <c r="AB2" s="1745"/>
    </row>
    <row r="3" spans="1:30">
      <c r="A3" s="302" t="s">
        <v>2169</v>
      </c>
      <c r="B3" s="2373">
        <v>45023</v>
      </c>
      <c r="C3" s="2374" t="s">
        <v>2170</v>
      </c>
      <c r="D3" s="2373">
        <f>B3</f>
        <v>45023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3373</v>
      </c>
      <c r="C4" s="2376">
        <f ca="1">SUMIF(注册房地产估价师,B4,估价师及机构信息!B3:B24)</f>
        <v>1120100036</v>
      </c>
      <c r="D4" s="2375" t="s">
        <v>3374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23" t="s">
        <v>2176</v>
      </c>
      <c r="E8" s="2391" t="s">
        <v>3376</v>
      </c>
      <c r="F8" s="2392"/>
      <c r="G8" s="2660"/>
      <c r="H8" s="2660"/>
      <c r="I8" s="2660"/>
      <c r="J8" s="2438"/>
      <c r="K8" s="2611"/>
      <c r="L8" s="2610"/>
      <c r="M8" s="2610"/>
      <c r="N8" s="2438"/>
      <c r="O8" s="2449"/>
      <c r="P8" s="2438"/>
      <c r="Q8" s="2438"/>
      <c r="R8" s="2438"/>
    </row>
    <row r="9" spans="1:30" ht="13.5" thickBot="1">
      <c r="A9" s="2393" t="s">
        <v>2177</v>
      </c>
      <c r="B9" s="2394" t="s">
        <v>3376</v>
      </c>
      <c r="C9" s="2395"/>
      <c r="D9" s="3524"/>
      <c r="E9" s="2394" t="s">
        <v>587</v>
      </c>
      <c r="F9" s="2396"/>
      <c r="G9" s="2662"/>
      <c r="H9" s="2662"/>
      <c r="I9" s="2662"/>
      <c r="J9" s="2438"/>
      <c r="K9" s="2613"/>
      <c r="L9" s="2610"/>
      <c r="M9" s="2610"/>
      <c r="N9" s="2438"/>
      <c r="O9" s="2449"/>
      <c r="P9" s="2438"/>
      <c r="Q9" s="2438"/>
      <c r="R9" s="2438"/>
    </row>
    <row r="10" spans="1:30" ht="13.5" thickTop="1">
      <c r="A10" s="2397" t="s">
        <v>2178</v>
      </c>
      <c r="B10" s="2398" t="s">
        <v>3377</v>
      </c>
      <c r="C10" s="2399"/>
      <c r="D10" s="2382"/>
      <c r="E10" s="2400" t="s">
        <v>2179</v>
      </c>
      <c r="F10" s="3446" t="s">
        <v>3378</v>
      </c>
      <c r="G10" s="2663"/>
      <c r="H10" s="2664"/>
      <c r="I10" s="2665"/>
      <c r="J10" s="2438"/>
      <c r="K10" s="2613"/>
      <c r="L10" s="2610"/>
      <c r="M10" s="2610"/>
      <c r="N10" s="2438"/>
      <c r="O10" s="2449"/>
      <c r="P10" s="2438"/>
      <c r="Q10" s="2438"/>
      <c r="R10" s="2438"/>
    </row>
    <row r="11" spans="1:30" ht="24">
      <c r="A11" s="2401" t="s">
        <v>2180</v>
      </c>
      <c r="B11" s="2402" t="s">
        <v>3379</v>
      </c>
      <c r="C11" s="3447" t="s">
        <v>3380</v>
      </c>
      <c r="D11" s="2403"/>
      <c r="E11" s="2370"/>
      <c r="F11" s="2370"/>
      <c r="G11" s="2370"/>
      <c r="H11" s="2370"/>
      <c r="I11" s="2370"/>
      <c r="J11" s="3057"/>
      <c r="K11" s="3056"/>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5" t="s">
        <v>2574</v>
      </c>
      <c r="J12" s="3058"/>
      <c r="K12" s="2610"/>
      <c r="L12" s="2610"/>
      <c r="M12" s="2438"/>
      <c r="N12" s="2449"/>
      <c r="O12" s="2438"/>
      <c r="P12" s="2438"/>
      <c r="Q12" s="2438"/>
      <c r="AD12" s="1745"/>
    </row>
    <row r="13" spans="1:30">
      <c r="A13" s="3419" t="s">
        <v>3334</v>
      </c>
      <c r="B13" s="2406" t="s">
        <v>2189</v>
      </c>
      <c r="C13" s="856"/>
      <c r="D13" s="856">
        <v>51300</v>
      </c>
      <c r="E13" s="856"/>
      <c r="F13" s="856"/>
      <c r="G13" s="856"/>
      <c r="H13" s="856"/>
      <c r="I13" s="856"/>
      <c r="J13" s="3058"/>
      <c r="K13" s="2610"/>
      <c r="L13" s="2610"/>
      <c r="M13" s="2438"/>
      <c r="N13" s="2449"/>
      <c r="O13" s="2438"/>
      <c r="P13" s="2438"/>
      <c r="Q13" s="2438"/>
      <c r="AD13" s="1745"/>
    </row>
    <row r="14" spans="1:30">
      <c r="A14" s="1081"/>
      <c r="B14" s="2406" t="s">
        <v>2190</v>
      </c>
      <c r="C14" s="2407"/>
      <c r="D14" s="2407">
        <v>40</v>
      </c>
      <c r="E14" s="2407"/>
      <c r="F14" s="2407"/>
      <c r="G14" s="2407"/>
      <c r="H14" s="2407"/>
      <c r="I14" s="2407"/>
      <c r="J14" s="3059"/>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17.190000000000001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2192</v>
      </c>
      <c r="B16" s="3530"/>
      <c r="C16" s="3531"/>
      <c r="D16" s="3532"/>
      <c r="E16" s="2412" t="s">
        <v>2193</v>
      </c>
      <c r="F16" s="3533"/>
      <c r="G16" s="3534"/>
      <c r="H16" s="3534"/>
      <c r="I16" s="3535"/>
      <c r="J16" s="2438"/>
      <c r="K16" s="2614"/>
      <c r="L16" s="2450"/>
      <c r="M16" s="2450"/>
      <c r="N16" s="2506"/>
      <c r="O16" s="2450"/>
      <c r="P16" s="2506"/>
      <c r="Q16" s="2438"/>
      <c r="R16" s="2438"/>
    </row>
    <row r="17" spans="1:28">
      <c r="A17" s="313" t="s">
        <v>2194</v>
      </c>
      <c r="B17" s="302" t="s">
        <v>2195</v>
      </c>
      <c r="C17" s="8">
        <f>'数据-汇总表'!E3</f>
        <v>19397.46</v>
      </c>
      <c r="D17" s="2322" t="s">
        <v>2196</v>
      </c>
      <c r="E17" s="3536" t="s">
        <v>2197</v>
      </c>
      <c r="F17" s="3537"/>
      <c r="G17" s="3537"/>
      <c r="H17" s="3537"/>
      <c r="I17" s="3538"/>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10358.120000000001</v>
      </c>
      <c r="D18" s="1092" t="s">
        <v>2200</v>
      </c>
      <c r="E18" s="3539" t="s">
        <v>2201</v>
      </c>
      <c r="F18" s="3540"/>
      <c r="G18" s="3540"/>
      <c r="H18" s="3540"/>
      <c r="I18" s="3541"/>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26" t="s">
        <v>2205</v>
      </c>
      <c r="C20" s="3527"/>
      <c r="D20" s="3528" t="s">
        <v>2206</v>
      </c>
      <c r="E20" s="3529"/>
      <c r="F20" s="2644" t="s">
        <v>1056</v>
      </c>
      <c r="G20" s="2661"/>
      <c r="H20" s="2661"/>
      <c r="I20" s="2661"/>
      <c r="J20" s="2438"/>
      <c r="K20" s="352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2208</v>
      </c>
      <c r="C21" s="2631" t="s">
        <v>1057</v>
      </c>
      <c r="D21" s="1568" t="s">
        <v>2209</v>
      </c>
      <c r="E21" s="2632" t="s">
        <v>1057</v>
      </c>
      <c r="F21" s="2645"/>
      <c r="G21" s="2661"/>
      <c r="H21" s="2661"/>
      <c r="I21" s="2661"/>
      <c r="J21" s="2438"/>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2210</v>
      </c>
      <c r="C22" s="2631" t="s">
        <v>1058</v>
      </c>
      <c r="D22" s="2660"/>
      <c r="E22" s="2660"/>
      <c r="F22" s="2660"/>
      <c r="G22" s="2661"/>
      <c r="H22" s="2661"/>
      <c r="I22" s="2661"/>
      <c r="J22" s="2438"/>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11"/>
      <c r="O22" s="2410"/>
      <c r="P22" s="2411"/>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3" t="s">
        <v>2213</v>
      </c>
      <c r="B27" s="320" t="s">
        <v>2214</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3"/>
      <c r="B28" s="302" t="s">
        <v>2215</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3"/>
      <c r="B29" s="302" t="s">
        <v>2216</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4"/>
      <c r="B30" s="302" t="s">
        <v>2217</v>
      </c>
      <c r="C30" s="3515"/>
      <c r="D30" s="3516"/>
      <c r="E30" s="2661"/>
      <c r="F30" s="2661"/>
      <c r="G30" s="2661"/>
      <c r="H30" s="2661"/>
      <c r="I30" s="2661"/>
      <c r="J30" s="2438"/>
      <c r="K30" s="2613"/>
      <c r="L30" s="2610"/>
      <c r="M30" s="2610"/>
      <c r="N30" s="2438"/>
      <c r="O30" s="2449"/>
      <c r="P30" s="2438"/>
      <c r="Q30" s="2438"/>
      <c r="R30" s="2438"/>
      <c r="S30" s="2438"/>
      <c r="T30" s="2438"/>
      <c r="U30" s="2438"/>
      <c r="V30" s="2438"/>
    </row>
    <row r="31" spans="1:28">
      <c r="A31" s="3517" t="s">
        <v>2218</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18"/>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18"/>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2219</v>
      </c>
      <c r="B34" s="2026"/>
      <c r="C34" s="2026"/>
      <c r="D34" s="2026"/>
      <c r="E34" s="2026"/>
      <c r="F34" s="2026"/>
      <c r="G34" s="2026"/>
      <c r="H34" s="2026"/>
      <c r="I34" s="2661"/>
      <c r="J34" s="2438"/>
      <c r="K34" s="2426">
        <f>COUNTIF(B34:H34,"——")</f>
        <v>0</v>
      </c>
      <c r="L34" s="323" t="s">
        <v>2220</v>
      </c>
      <c r="M34" s="323" t="s">
        <v>2221</v>
      </c>
      <c r="N34" s="323" t="s">
        <v>2222</v>
      </c>
      <c r="O34" s="323" t="s">
        <v>2223</v>
      </c>
      <c r="P34" s="323" t="s">
        <v>2224</v>
      </c>
      <c r="Q34" s="323" t="s">
        <v>2225</v>
      </c>
      <c r="R34" s="323" t="s">
        <v>2226</v>
      </c>
      <c r="S34" s="3512" t="s">
        <v>2227</v>
      </c>
      <c r="T34" s="2427" t="str">
        <f>NUMBERSTRING(7-K34,1)&amp;"通"</f>
        <v>七通</v>
      </c>
      <c r="U34" s="2438"/>
      <c r="V34" s="2438"/>
    </row>
    <row r="35" spans="1:30">
      <c r="A35" s="2428"/>
      <c r="B35" s="3519" t="s">
        <v>2228</v>
      </c>
      <c r="C35" s="3519"/>
      <c r="D35" s="3519"/>
      <c r="E35" s="3519"/>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1" t="s">
        <v>2577</v>
      </c>
      <c r="G36" s="2661"/>
      <c r="H36" s="2661"/>
      <c r="I36" s="2661"/>
      <c r="J36" s="2438"/>
      <c r="K36" s="2613"/>
      <c r="L36" s="2610"/>
      <c r="M36" s="2610"/>
      <c r="N36" s="2438"/>
      <c r="O36" s="2449"/>
      <c r="P36" s="2438"/>
      <c r="Q36" s="2438"/>
      <c r="R36" s="2438"/>
      <c r="S36" s="2438"/>
      <c r="T36" s="2438"/>
      <c r="U36" s="2438"/>
      <c r="V36" s="2438"/>
    </row>
    <row r="37" spans="1:30">
      <c r="A37" s="2627" t="s">
        <v>2229</v>
      </c>
      <c r="B37" s="2430" t="s">
        <v>110</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2230</v>
      </c>
      <c r="B38" s="2431" t="s">
        <v>157</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2232</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1" sqref="C1"/>
      <selection pane="topRight" activeCell="C1" sqref="C1"/>
      <selection pane="bottomLeft" activeCell="C1" sqref="C1"/>
      <selection pane="bottomRight" activeCell="M27" sqref="M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10358.120000000001</v>
      </c>
      <c r="B3" s="11">
        <f>IF(C3="否",G5-AT5,G5)</f>
        <v>19397.46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19397.46</v>
      </c>
      <c r="H5" s="13">
        <f t="shared" ref="H5:AT5" si="0">SUM(H13:H656)</f>
        <v>19397.46</v>
      </c>
      <c r="I5" s="13">
        <f t="shared" si="0"/>
        <v>14135.59</v>
      </c>
      <c r="J5" s="13">
        <f t="shared" si="0"/>
        <v>0</v>
      </c>
      <c r="K5" s="13">
        <f t="shared" si="0"/>
        <v>5261.87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19397.46</v>
      </c>
      <c r="BA5" s="15">
        <f t="shared" si="1"/>
        <v>19397.46</v>
      </c>
      <c r="BB5" s="15">
        <f t="shared" si="1"/>
        <v>14135.59</v>
      </c>
      <c r="BC5" s="15">
        <f t="shared" si="1"/>
        <v>5261.87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10358.120000000001</v>
      </c>
      <c r="F6" s="13" t="s">
        <v>0</v>
      </c>
      <c r="G6" s="13" t="s">
        <v>1</v>
      </c>
      <c r="H6" s="17">
        <f>SUMIF(I$12:AB$12,"总值",I6:AB6)</f>
        <v>10358.120000000001</v>
      </c>
      <c r="I6" s="13">
        <f t="shared" ref="I6:AB6" si="2">ROUND($A$3*I5/$B$3,2)</f>
        <v>7548.31</v>
      </c>
      <c r="J6" s="13">
        <f t="shared" si="2"/>
        <v>0</v>
      </c>
      <c r="K6" s="13">
        <f t="shared" si="2"/>
        <v>2809.81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10358.120000000001</v>
      </c>
      <c r="AZ6" s="13" t="s">
        <v>2</v>
      </c>
      <c r="BA6" s="13">
        <f>ROUND($AY$6*BA5/$AZ$5,2)</f>
        <v>10358.120000000001</v>
      </c>
      <c r="BB6" s="13">
        <f>ROUND($AY$6*BB5/$AZ$5,2)</f>
        <v>7548.31</v>
      </c>
      <c r="BC6" s="13">
        <f t="shared" ref="BC6:BH6" si="4">ROUND($AY$6*BC5/$AZ$5,2)</f>
        <v>2809.81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3491</v>
      </c>
      <c r="J11" s="1615"/>
      <c r="K11" s="1614" t="s">
        <v>3491</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3381</v>
      </c>
      <c r="D13" s="1625" t="s">
        <v>3384</v>
      </c>
      <c r="E13" s="13">
        <f>IF($C$3="是",ROUND($A$3*G13/$B$3,2),ROUND($A$3*(G13-AT13)/$B$3,2))</f>
        <v>3774.16</v>
      </c>
      <c r="F13" s="29"/>
      <c r="G13" s="30">
        <f>H13+AC13+AT13</f>
        <v>7067.8</v>
      </c>
      <c r="H13" s="17">
        <f>SUMIF(I$12:AB$12,"总值",I13:AB13)</f>
        <v>7067.8</v>
      </c>
      <c r="I13" s="1626">
        <v>7067.8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3774.16</v>
      </c>
      <c r="AZ13" s="13">
        <f>BA13+BL13</f>
        <v>7067.8</v>
      </c>
      <c r="BA13" s="13">
        <f>SUM(BB13:BK13)</f>
        <v>7067.8</v>
      </c>
      <c r="BB13" s="13">
        <f>IF($D13="是",I13-J13,0)</f>
        <v>7067.8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3382</v>
      </c>
      <c r="D14" s="1625" t="s">
        <v>3384</v>
      </c>
      <c r="E14" s="13">
        <f>IF($C$3="是",ROUND($A$3*G14/$B$3,2),ROUND($A$3*(G14-AT14)/$B$3,2))</f>
        <v>3774.15</v>
      </c>
      <c r="F14" s="29"/>
      <c r="G14" s="30">
        <f>H14+AC14+AT14</f>
        <v>7067.79</v>
      </c>
      <c r="H14" s="17">
        <f>SUMIF(I$12:AB$12,"总值",I14:AB14)</f>
        <v>7067.79</v>
      </c>
      <c r="I14" s="1626">
        <v>7067.79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3774.15</v>
      </c>
      <c r="AZ14" s="13">
        <f>BA14+BL14</f>
        <v>7067.79</v>
      </c>
      <c r="BA14" s="13">
        <f>SUM(BB14:BK14)</f>
        <v>7067.79</v>
      </c>
      <c r="BB14" s="13">
        <f>IF($D14="是",I14-J14,0)</f>
        <v>7067.79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3383</v>
      </c>
      <c r="D15" s="1625" t="s">
        <v>3384</v>
      </c>
      <c r="E15" s="13">
        <f>IF($C$3="是",ROUND($A$3*G15/$B$3,2),ROUND($A$3*(G15-AT15)/$B$3,2))</f>
        <v>2809.81</v>
      </c>
      <c r="F15" s="29"/>
      <c r="G15" s="30">
        <f>H15+AC15+AT15</f>
        <v>5261.87</v>
      </c>
      <c r="H15" s="17">
        <f>SUMIF(I$12:AB$12,"总值",I15:AB15)</f>
        <v>5261.87</v>
      </c>
      <c r="I15" s="1626"/>
      <c r="J15" s="1626"/>
      <c r="K15" s="1626">
        <v>5261.87</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地下1层</v>
      </c>
      <c r="AY15" s="1349">
        <f>ROUND($AY$6*AZ15/$AZ$5,2)</f>
        <v>2809.81</v>
      </c>
      <c r="AZ15" s="13">
        <f>BA15+BL15</f>
        <v>5261.87</v>
      </c>
      <c r="BA15" s="13">
        <f>SUM(BB15:BK15)</f>
        <v>5261.87</v>
      </c>
      <c r="BB15" s="13">
        <f>IF($D15="是",I15-J15,0)</f>
        <v>0</v>
      </c>
      <c r="BC15" s="13">
        <f>IF($D15="是",K15-L15,0)</f>
        <v>5261.87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6"/>
      <c r="G2" s="2647"/>
      <c r="H2" s="2648"/>
      <c r="I2" s="2325" t="s">
        <v>1132</v>
      </c>
      <c r="J2" s="2656"/>
      <c r="K2" s="2656"/>
      <c r="L2" s="2656"/>
      <c r="M2" s="2656"/>
      <c r="N2" s="2658"/>
      <c r="O2" s="2656"/>
      <c r="P2" s="2656"/>
    </row>
    <row r="3" spans="1:16" ht="15.75" thickBot="1">
      <c r="A3" s="3552" t="s">
        <v>1105</v>
      </c>
      <c r="B3" s="3552"/>
      <c r="C3" s="3552"/>
      <c r="D3" s="43">
        <f>'数据-基础表'!AY6</f>
        <v>10358.120000000001</v>
      </c>
      <c r="E3" s="43">
        <f>'数据-基础表'!AZ5</f>
        <v>19397.46</v>
      </c>
      <c r="F3" s="2656"/>
      <c r="G3" s="1145"/>
      <c r="H3" s="1026" t="s">
        <v>1106</v>
      </c>
      <c r="I3" s="855">
        <f>ROUND('数据-基础表'!B3/'数据-基础表'!A3,2)</f>
        <v>1.87</v>
      </c>
      <c r="J3" s="2656"/>
      <c r="K3" s="2656"/>
      <c r="L3" s="2656"/>
      <c r="M3" s="2656"/>
      <c r="N3" s="2658"/>
      <c r="O3" s="2656"/>
      <c r="P3" s="2656"/>
    </row>
    <row r="4" spans="1:16" ht="15">
      <c r="A4" s="3553"/>
      <c r="B4" s="3554"/>
      <c r="C4" s="3555"/>
      <c r="D4" s="1641" t="s">
        <v>1107</v>
      </c>
      <c r="E4" s="1642" t="s">
        <v>1108</v>
      </c>
      <c r="F4" s="2656"/>
      <c r="G4" s="2649" t="s">
        <v>1133</v>
      </c>
      <c r="H4" s="1026" t="s">
        <v>1113</v>
      </c>
      <c r="I4" s="855">
        <f>ROUND(SUMIF('数据-基础表'!I9:AS9,"地上",'数据-基础表'!I5:AS5)/'数据-基础表'!A3,2)</f>
        <v>1.36</v>
      </c>
      <c r="J4" s="2656"/>
      <c r="K4" s="2656"/>
      <c r="L4" s="2656"/>
      <c r="M4" s="2656"/>
      <c r="N4" s="2658"/>
      <c r="O4" s="2656"/>
      <c r="P4" s="2656"/>
    </row>
    <row r="5" spans="1:16">
      <c r="A5" s="44" t="s">
        <v>1109</v>
      </c>
      <c r="B5" s="3556" t="s">
        <v>1110</v>
      </c>
      <c r="C5" s="3556"/>
      <c r="D5" s="45">
        <f>ROUND($D$3*E5/$E$3,2)</f>
        <v>0</v>
      </c>
      <c r="E5" s="46">
        <f>SUMIF('数据-基础表'!$11:$11,"住宅",'数据-基础表'!$5:$5)</f>
        <v>0</v>
      </c>
      <c r="F5" s="2656"/>
      <c r="G5" s="1145"/>
      <c r="H5" s="1026" t="s">
        <v>1106</v>
      </c>
      <c r="I5" s="855">
        <f>ROUND(E31/D31,2)</f>
        <v>1.87</v>
      </c>
      <c r="J5" s="2656"/>
      <c r="K5" s="2656"/>
      <c r="L5" s="2656"/>
      <c r="M5" s="2656"/>
      <c r="N5" s="2656"/>
      <c r="O5" s="2656"/>
      <c r="P5" s="2656"/>
    </row>
    <row r="6" spans="1:16" ht="15" thickBot="1">
      <c r="A6" s="1644"/>
      <c r="B6" s="3556" t="s">
        <v>1111</v>
      </c>
      <c r="C6" s="3556"/>
      <c r="D6" s="45">
        <f>ROUND($D$3*E6/$E$3,2)</f>
        <v>10358.120000000001</v>
      </c>
      <c r="E6" s="46">
        <f>E3-E5</f>
        <v>19397.46</v>
      </c>
      <c r="F6" s="2656"/>
      <c r="G6" s="2650" t="s">
        <v>1112</v>
      </c>
      <c r="H6" s="1146" t="s">
        <v>1113</v>
      </c>
      <c r="I6" s="2651">
        <f>ROUND(F31/D31,2)</f>
        <v>1.36</v>
      </c>
      <c r="J6" s="2656"/>
      <c r="K6" s="2656"/>
      <c r="L6" s="2656"/>
      <c r="M6" s="2656"/>
      <c r="N6" s="2656"/>
      <c r="O6" s="2656"/>
      <c r="P6" s="2656"/>
    </row>
    <row r="7" spans="1:16" ht="15.75" thickBot="1">
      <c r="A7" s="3548"/>
      <c r="B7" s="3549"/>
      <c r="C7" s="3550"/>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7548.31</v>
      </c>
      <c r="E8" s="48">
        <f>SUMIF('数据-基础表'!BB10:BK10,"地上",'数据-基础表'!BB5:BK5)</f>
        <v>14135.59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2809.81</v>
      </c>
      <c r="E10" s="48">
        <f>SUMPRODUCT(('数据-基础表'!BB10:BK10="地下")*('数据-基础表'!BB11:BK11="商业")*('数据-基础表'!BB5:BK5))</f>
        <v>5261.87</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10358.120000000001</v>
      </c>
      <c r="E16" s="50">
        <f>SUM(E8:E15)</f>
        <v>19397.46</v>
      </c>
      <c r="F16" s="2656"/>
      <c r="G16" s="2657"/>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3387</v>
      </c>
      <c r="D19" s="45">
        <f>ROUND($D$3*E19/$E$3,2)</f>
        <v>10358.120000000001</v>
      </c>
      <c r="E19" s="53">
        <f t="shared" ref="E19:E26" si="1">SUM(F19:G19)</f>
        <v>19397.46</v>
      </c>
      <c r="F19" s="2791">
        <f>'数据-基础表'!I5</f>
        <v>14135.59</v>
      </c>
      <c r="G19" s="2792">
        <f>'数据-基础表'!K5</f>
        <v>5261.87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10358.120000000001</v>
      </c>
      <c r="S19" s="1027">
        <f t="shared" si="5"/>
        <v>19397.46</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10358.120000000001</v>
      </c>
      <c r="E27" s="1141">
        <f>IF(SUM(E19:E26)='数据-基础表'!BA5,SUM(E19:E26),IF(F27="地上面积有误","面积有误","地下面积有误"))</f>
        <v>19397.46</v>
      </c>
      <c r="F27" s="1140">
        <f>IF(SUM(F19:F26)=E8,SUM(F19:F26),"地上面积有误")</f>
        <v>14135.59</v>
      </c>
      <c r="G27" s="1142">
        <f>SUM(G19:G26)</f>
        <v>5261.87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10358.120000000001</v>
      </c>
      <c r="S27" s="1026">
        <f>IF(SUM(S19:S26)=$E$3,SUM(S19:S26),SUM(S19:S26)&amp;"误差"&amp;ROUND(SUM(S19:S26)-E3,2))</f>
        <v>19397.46</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10358.120000000001</v>
      </c>
      <c r="E31" s="676">
        <f>E27+E30</f>
        <v>19397.46</v>
      </c>
      <c r="F31" s="677">
        <f>F27+F30</f>
        <v>14135.59</v>
      </c>
      <c r="G31" s="678">
        <f>G27+G30</f>
        <v>5261.87</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1" sqref="C1"/>
      <selection pane="topRight" activeCell="C1" sqref="C1"/>
      <selection pane="bottomLeft" activeCell="C1" sqref="C1"/>
      <selection pane="bottomRight" activeCell="I30" sqref="I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51300</v>
      </c>
      <c r="F6" s="64">
        <f>SUMIF(项目基本情况!C$12:I$12,C6,项目基本情况!C$15:I$15)</f>
        <v>17.190000000000001</v>
      </c>
      <c r="G6" s="65">
        <f>IF(ISERROR(ROUND(POWER(1+H6,D6-F6)*(POWER(1+H6,F6)-1)/(POWER(1+H6,D6)-1),3)),0,ROUND(POWER(1+H6,D6-F6)*(POWER(1+H6,F6)-1)/(POWER(1+H6,D6)-1),3))</f>
        <v>0.68200000000000005</v>
      </c>
      <c r="H6" s="732">
        <v>5.5E-2</v>
      </c>
      <c r="I6" s="732">
        <v>0.06</v>
      </c>
      <c r="J6" s="66">
        <v>7.0000000000000007E-2</v>
      </c>
      <c r="K6" s="1030">
        <f>SUMIF('数据-汇总表'!C$19:C$33,A6,'数据-汇总表'!E$19:E$33)</f>
        <v>19397.46</v>
      </c>
      <c r="L6" s="733">
        <v>4500</v>
      </c>
      <c r="M6" s="67">
        <f t="shared" ref="M6:M14" si="0">ROUND(K6*L6/10000,0)</f>
        <v>8729</v>
      </c>
      <c r="N6" s="731">
        <f>N22</f>
        <v>0.71</v>
      </c>
      <c r="O6" s="67" t="str">
        <f>IF($N$5="成新度","——",ROUND(M6*N6,0))</f>
        <v>——</v>
      </c>
      <c r="P6" s="68" t="str">
        <f>IF($N$5="成新度","——",M6-O6)</f>
        <v>——</v>
      </c>
      <c r="Q6" s="734">
        <v>0.2</v>
      </c>
      <c r="R6" s="69">
        <f ca="1">SUMIF('数据-汇总表'!C$19:C$33,A6,'数据-汇总表'!R$19:R$27)</f>
        <v>10358.120000000001</v>
      </c>
      <c r="S6" s="51">
        <f>IF('数据-汇总表'!$I$17="按面积比例",SUMIF('数据-汇总表'!C$19:C$33,A6,'数据-汇总表'!K$19:K$33),SUMIF('数据-汇总表'!C$19:C$33,A6,'数据-汇总表'!N$19:N$33))</f>
        <v>0</v>
      </c>
      <c r="T6" s="1172">
        <f>ROUND($L$14*S6/10000,0)</f>
        <v>0</v>
      </c>
      <c r="U6" s="3424">
        <f>X23</f>
        <v>7.6</v>
      </c>
      <c r="V6" s="70">
        <v>0.03</v>
      </c>
      <c r="W6" s="70">
        <v>0.05</v>
      </c>
      <c r="X6" s="1040"/>
      <c r="Y6" s="71">
        <f>N6</f>
        <v>0.71</v>
      </c>
      <c r="Z6" s="72"/>
      <c r="AA6" s="66"/>
      <c r="AB6" s="66"/>
      <c r="AC6" s="1040"/>
      <c r="AD6" s="73"/>
      <c r="AE6" s="1041">
        <f ca="1">IF(AN6="",0,SUMIF(INDIRECT("'"&amp;AN6&amp;"'"&amp;"!E:E"),$AE$5,INDIRECT("'"&amp;AN6&amp;"'"&amp;"!F:F")))</f>
        <v>17.190000000000001</v>
      </c>
      <c r="AF6" s="1348"/>
      <c r="AG6" s="138">
        <f>IF(AF6="",0,AE6-AF6)</f>
        <v>0</v>
      </c>
      <c r="AH6" s="74"/>
      <c r="AI6" s="76">
        <v>365</v>
      </c>
      <c r="AJ6" s="77"/>
      <c r="AK6" s="78">
        <v>0.01</v>
      </c>
      <c r="AL6" s="79">
        <v>1.5E-3</v>
      </c>
      <c r="AM6" s="80">
        <v>0.01</v>
      </c>
      <c r="AN6" s="1715" t="s">
        <v>3398</v>
      </c>
      <c r="AO6" s="52">
        <f ca="1">SUMIF(INDIRECT("'"&amp;AN6&amp;"'"&amp;"!A:A"),"总价",INDIRECT("'"&amp;AN6&amp;"'"&amp;"!B:B"))</f>
        <v>54249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0.68200000000000005</v>
      </c>
      <c r="H16" s="90">
        <f>ROUND(SUMPRODUCT(H6:H13,K6:K13)/SUMPRODUCT((H6:H13&gt;0)*(K6:K13)),3)</f>
        <v>5.5E-2</v>
      </c>
      <c r="I16" s="91"/>
      <c r="J16" s="91"/>
      <c r="K16" s="92">
        <f>SUM(K6:K15)</f>
        <v>19397.46</v>
      </c>
      <c r="L16" s="93">
        <f>ROUND(M16*10000/SUM(K6:K14),0)</f>
        <v>4500</v>
      </c>
      <c r="M16" s="93">
        <f>SUM(M6:M14)</f>
        <v>8729</v>
      </c>
      <c r="N16" s="94">
        <f>ROUND(SUMPRODUCT(M6:M14,N6:N14)/M16,3)</f>
        <v>0.71</v>
      </c>
      <c r="O16" s="93">
        <f>SUM(O6:O14)</f>
        <v>0</v>
      </c>
      <c r="P16" s="93">
        <f>SUM(P6:P14)</f>
        <v>0</v>
      </c>
      <c r="Q16" s="95">
        <f>ROUND(SUMPRODUCT(Q6:Q13,K6:K13)/SUMPRODUCT((Q6:Q13&gt;0)*(K6:K13)),2)</f>
        <v>0.2</v>
      </c>
      <c r="R16" s="1034">
        <f ca="1">SUM(R6:R13)</f>
        <v>10358.120000000001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2300</v>
      </c>
      <c r="D19" s="2672"/>
      <c r="E19" s="2669"/>
      <c r="F19" s="2669"/>
      <c r="G19" s="2669"/>
      <c r="H19" s="2669"/>
      <c r="I19" s="2669"/>
      <c r="J19" s="2669"/>
      <c r="K19" s="2668"/>
      <c r="L19" s="2668"/>
      <c r="M19" s="3449" t="s">
        <v>3389</v>
      </c>
      <c r="N19" s="2667">
        <v>2000</v>
      </c>
      <c r="O19" s="2667"/>
      <c r="P19" s="2667"/>
      <c r="Q19" s="2667"/>
      <c r="R19" s="2667"/>
      <c r="S19" s="2667"/>
      <c r="T19" s="2667"/>
      <c r="U19" s="3449" t="s">
        <v>3393</v>
      </c>
      <c r="V19" s="3449" t="s">
        <v>3394</v>
      </c>
      <c r="W19" s="3449" t="s">
        <v>3395</v>
      </c>
      <c r="X19" s="3449" t="s">
        <v>3396</v>
      </c>
      <c r="Y19" s="3449" t="s">
        <v>3397</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2298</v>
      </c>
      <c r="D20" s="2672"/>
      <c r="E20" s="2669"/>
      <c r="F20" s="2669"/>
      <c r="G20" s="2669"/>
      <c r="H20" s="2669"/>
      <c r="I20" s="2669"/>
      <c r="J20" s="2669"/>
      <c r="K20" s="2668"/>
      <c r="L20" s="2668"/>
      <c r="M20" s="3449" t="s">
        <v>3390</v>
      </c>
      <c r="N20" s="2667">
        <f>ROUND(1-(1-0%)*(2023-N19)/60,2)</f>
        <v>0.62</v>
      </c>
      <c r="O20" s="2667"/>
      <c r="P20" s="2667"/>
      <c r="Q20" s="2667"/>
      <c r="R20" s="2667"/>
      <c r="S20" s="2667"/>
      <c r="T20" s="2667"/>
      <c r="U20" s="2667">
        <v>1</v>
      </c>
      <c r="V20" s="2667">
        <f>'数据-基础表'!I13</f>
        <v>7067.8</v>
      </c>
      <c r="W20" s="2667">
        <v>1</v>
      </c>
      <c r="X20" s="2667">
        <v>10</v>
      </c>
      <c r="Y20" s="2667">
        <f>X20*V20</f>
        <v>70678</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v>
      </c>
      <c r="C21" s="2669"/>
      <c r="D21" s="2672"/>
      <c r="E21" s="2669"/>
      <c r="F21" s="2669"/>
      <c r="G21" s="2669"/>
      <c r="H21" s="2669"/>
      <c r="I21" s="2669"/>
      <c r="J21" s="2669"/>
      <c r="K21" s="2668"/>
      <c r="L21" s="2668"/>
      <c r="M21" s="3449" t="s">
        <v>3391</v>
      </c>
      <c r="N21" s="3450">
        <v>0.8</v>
      </c>
      <c r="O21" s="2667"/>
      <c r="P21" s="2667"/>
      <c r="Q21" s="2667"/>
      <c r="R21" s="2667"/>
      <c r="S21" s="2667"/>
      <c r="T21" s="2667"/>
      <c r="U21" s="2667">
        <v>2</v>
      </c>
      <c r="V21" s="2667">
        <f>'数据-基础表'!I14</f>
        <v>7067.79</v>
      </c>
      <c r="W21" s="2667">
        <v>0.7</v>
      </c>
      <c r="X21" s="2667">
        <f>X20*W21</f>
        <v>7</v>
      </c>
      <c r="Y21" s="2667">
        <f>X21*V21</f>
        <v>49474.53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3449" t="s">
        <v>3392</v>
      </c>
      <c r="N22" s="2667">
        <f>ROUND((N20+N21)/2,3)</f>
        <v>0.71</v>
      </c>
      <c r="O22" s="2667"/>
      <c r="P22" s="2667"/>
      <c r="Q22" s="2667"/>
      <c r="R22" s="2667"/>
      <c r="S22" s="2667"/>
      <c r="T22" s="2667"/>
      <c r="U22" s="2667">
        <v>-1</v>
      </c>
      <c r="V22" s="2667">
        <f>'数据-基础表'!K15</f>
        <v>5261.87</v>
      </c>
      <c r="W22" s="2667">
        <v>0.5</v>
      </c>
      <c r="X22" s="2667">
        <f>X20*W22</f>
        <v>5</v>
      </c>
      <c r="Y22" s="2667">
        <f>X22*V22</f>
        <v>26309.35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f>SUM(V20:V22)</f>
        <v>19397.46</v>
      </c>
      <c r="W23" s="2667"/>
      <c r="X23" s="2667">
        <f>ROUND(Y23/V23,1)</f>
        <v>7.6</v>
      </c>
      <c r="Y23" s="2667">
        <f>SUM(Y20:Y22)</f>
        <v>146461.88</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3449" t="s">
        <v>3424</v>
      </c>
      <c r="W25" s="2667" t="s">
        <v>3425</v>
      </c>
      <c r="X25" s="2667">
        <v>6</v>
      </c>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388</v>
      </c>
      <c r="C29" s="2798" t="s">
        <v>2289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3399</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3</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303</v>
      </c>
      <c r="C53" s="2658"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3451">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1" sqref="C1"/>
      <selection pane="topRight" activeCell="C1" sqref="C1"/>
      <selection pane="bottomLeft" activeCell="C1" sqref="C1"/>
      <selection pane="bottomRight" activeCell="F35" sqref="F3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57" t="s">
        <v>2281</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25.5">
      <c r="A3" s="2440" t="s">
        <v>2279</v>
      </c>
      <c r="B3" s="2462" t="s">
        <v>2251</v>
      </c>
      <c r="C3" s="3452" t="s">
        <v>3400</v>
      </c>
      <c r="D3" s="2463"/>
      <c r="E3" s="2441" t="s">
        <v>2279</v>
      </c>
      <c r="F3" s="2464" t="s">
        <v>2252</v>
      </c>
      <c r="G3" s="2465" t="s">
        <v>2280</v>
      </c>
      <c r="H3" s="799"/>
      <c r="I3" s="799"/>
      <c r="J3" s="799"/>
      <c r="K3" s="799"/>
      <c r="L3" s="799"/>
      <c r="M3" s="799"/>
      <c r="N3" s="799"/>
      <c r="O3" s="799"/>
      <c r="P3" s="799"/>
      <c r="Q3" s="799"/>
      <c r="R3" s="799"/>
    </row>
    <row r="4" spans="1:29" ht="36">
      <c r="A4" s="2441"/>
      <c r="B4" s="323" t="s">
        <v>2253</v>
      </c>
      <c r="C4" s="3453" t="s">
        <v>3401</v>
      </c>
      <c r="D4" s="2463"/>
      <c r="E4" s="2466"/>
      <c r="F4" s="1373" t="s">
        <v>2254</v>
      </c>
      <c r="G4" s="2467" t="s">
        <v>2255</v>
      </c>
      <c r="H4" s="799"/>
      <c r="I4" s="799"/>
      <c r="J4" s="799"/>
      <c r="K4" s="799"/>
      <c r="L4" s="799"/>
      <c r="M4" s="799"/>
      <c r="N4" s="799"/>
      <c r="O4" s="799"/>
      <c r="P4" s="799"/>
      <c r="Q4" s="799"/>
      <c r="R4" s="799"/>
    </row>
    <row r="5" spans="1:29" ht="24">
      <c r="A5" s="2441"/>
      <c r="B5" s="323" t="s">
        <v>2256</v>
      </c>
      <c r="C5" s="3453" t="s">
        <v>3401</v>
      </c>
      <c r="D5" s="2463"/>
      <c r="E5" s="2466"/>
      <c r="F5" s="323" t="s">
        <v>2257</v>
      </c>
      <c r="G5" s="2467" t="s">
        <v>2258</v>
      </c>
      <c r="H5" s="799"/>
      <c r="I5" s="799"/>
      <c r="J5" s="799"/>
      <c r="K5" s="799"/>
      <c r="L5" s="799"/>
      <c r="M5" s="799"/>
      <c r="N5" s="799"/>
      <c r="O5" s="799"/>
      <c r="P5" s="799"/>
      <c r="Q5" s="799"/>
      <c r="R5" s="799"/>
    </row>
    <row r="6" spans="1:29">
      <c r="A6" s="2441"/>
      <c r="B6" s="323" t="s">
        <v>2259</v>
      </c>
      <c r="C6" s="3454" t="s">
        <v>3402</v>
      </c>
      <c r="D6" s="2463"/>
      <c r="E6" s="2466"/>
      <c r="F6" s="323" t="s">
        <v>2260</v>
      </c>
      <c r="G6" s="2467" t="s">
        <v>2261</v>
      </c>
      <c r="H6" s="799"/>
      <c r="I6" s="799"/>
      <c r="J6" s="799"/>
      <c r="K6" s="799"/>
      <c r="L6" s="799"/>
      <c r="M6" s="799"/>
      <c r="N6" s="799"/>
      <c r="O6" s="799"/>
      <c r="P6" s="799"/>
      <c r="Q6" s="799"/>
      <c r="R6" s="799"/>
    </row>
    <row r="7" spans="1:29" ht="24.75" thickBot="1">
      <c r="A7" s="2441"/>
      <c r="B7" s="323" t="s">
        <v>2257</v>
      </c>
      <c r="C7" s="3454" t="s">
        <v>3402</v>
      </c>
      <c r="D7" s="2468"/>
      <c r="E7" s="2469"/>
      <c r="F7" s="2470" t="s">
        <v>2262</v>
      </c>
      <c r="G7" s="2471" t="s">
        <v>2263</v>
      </c>
      <c r="H7" s="799"/>
      <c r="I7" s="799"/>
      <c r="J7" s="799"/>
      <c r="K7" s="799"/>
      <c r="L7" s="799"/>
      <c r="M7" s="799"/>
      <c r="N7" s="799"/>
      <c r="O7" s="799"/>
      <c r="P7" s="799"/>
      <c r="Q7" s="799"/>
      <c r="R7" s="799"/>
    </row>
    <row r="8" spans="1:29">
      <c r="A8" s="2441"/>
      <c r="B8" s="323" t="s">
        <v>2260</v>
      </c>
      <c r="C8" s="3454" t="s">
        <v>3403</v>
      </c>
      <c r="D8" s="2468"/>
      <c r="E8" s="2468"/>
      <c r="F8" s="2472"/>
      <c r="G8" s="2472"/>
      <c r="H8" s="799"/>
      <c r="I8" s="799"/>
      <c r="J8" s="799"/>
      <c r="K8" s="799"/>
      <c r="L8" s="799"/>
      <c r="M8" s="799"/>
      <c r="N8" s="799"/>
      <c r="O8" s="799"/>
      <c r="P8" s="799"/>
      <c r="Q8" s="799"/>
      <c r="R8" s="799"/>
    </row>
    <row r="9" spans="1:29">
      <c r="A9" s="2441"/>
      <c r="B9" s="323" t="s">
        <v>2264</v>
      </c>
      <c r="C9" s="3453" t="s">
        <v>3402</v>
      </c>
      <c r="D9" s="2463"/>
      <c r="E9" s="2468"/>
      <c r="F9" s="2472"/>
      <c r="G9" s="2472"/>
      <c r="H9" s="799"/>
      <c r="I9" s="799"/>
      <c r="J9" s="799"/>
      <c r="K9" s="799"/>
      <c r="L9" s="799"/>
      <c r="M9" s="799"/>
      <c r="N9" s="799"/>
      <c r="O9" s="799"/>
      <c r="P9" s="799"/>
      <c r="Q9" s="799"/>
      <c r="R9" s="799"/>
    </row>
    <row r="10" spans="1:29" s="2478" customFormat="1" ht="15" thickBot="1">
      <c r="A10" s="2442"/>
      <c r="B10" s="2473" t="s">
        <v>2265</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2282</v>
      </c>
      <c r="B13" s="2481"/>
      <c r="C13" s="2481"/>
      <c r="D13" s="2479"/>
      <c r="E13" s="2481"/>
      <c r="F13" s="2481"/>
      <c r="G13" s="2481"/>
    </row>
    <row r="14" spans="1:29" ht="15" thickBot="1">
      <c r="A14" s="2491"/>
      <c r="B14" s="2491"/>
      <c r="C14" s="2492" t="s">
        <v>2266</v>
      </c>
      <c r="D14" s="2463"/>
      <c r="E14" s="2493"/>
      <c r="F14" s="2493"/>
      <c r="G14" s="2459" t="s">
        <v>2267</v>
      </c>
    </row>
    <row r="15" spans="1:29" ht="25.5">
      <c r="A15" s="2443" t="s">
        <v>2268</v>
      </c>
      <c r="B15" s="2494" t="s">
        <v>2251</v>
      </c>
      <c r="C15" s="2495" t="str">
        <f>C3</f>
        <v>较好</v>
      </c>
      <c r="D15" s="2463"/>
      <c r="E15" s="2444" t="s">
        <v>2269</v>
      </c>
      <c r="F15" s="2494" t="s">
        <v>2270</v>
      </c>
      <c r="G15" s="2496" t="str">
        <f>G3</f>
        <v>估价对象位于XX开发区，园区建设成熟度XX，产业集聚程度XX</v>
      </c>
    </row>
    <row r="16" spans="1:29" ht="38.25">
      <c r="A16" s="2445"/>
      <c r="B16" s="2497" t="s">
        <v>2253</v>
      </c>
      <c r="C16" s="2498" t="str">
        <f>C4</f>
        <v>较好</v>
      </c>
      <c r="D16" s="2463"/>
      <c r="E16" s="2446"/>
      <c r="F16" s="2499" t="s">
        <v>2254</v>
      </c>
      <c r="G16" s="2500" t="str">
        <f>G4</f>
        <v>估价对象周边道路状况、公共交通通达情况、停车便捷程度，综合评价交通便捷度较好</v>
      </c>
    </row>
    <row r="17" spans="1:18">
      <c r="A17" s="2445"/>
      <c r="B17" s="2497" t="s">
        <v>2256</v>
      </c>
      <c r="C17" s="2498" t="str">
        <f>C5</f>
        <v>较好</v>
      </c>
      <c r="D17" s="2468"/>
      <c r="E17" s="2446"/>
      <c r="F17" s="2499" t="s">
        <v>2271</v>
      </c>
      <c r="G17" s="2501"/>
    </row>
    <row r="18" spans="1:18" ht="25.5">
      <c r="A18" s="2445"/>
      <c r="B18" s="2499" t="s">
        <v>2259</v>
      </c>
      <c r="C18" s="2500" t="str">
        <f>C6</f>
        <v>较好</v>
      </c>
      <c r="D18" s="2468"/>
      <c r="E18" s="2446"/>
      <c r="F18" s="2499" t="s">
        <v>2262</v>
      </c>
      <c r="G18" s="2500" t="str">
        <f>G7</f>
        <v>该园区内是否有污染型企业，绿化情况，卫生条件，整体环境状况判断</v>
      </c>
    </row>
    <row r="19" spans="1:18" ht="25.5">
      <c r="A19" s="2445"/>
      <c r="B19" s="2499" t="s">
        <v>2272</v>
      </c>
      <c r="C19" s="2501"/>
      <c r="D19" s="2463"/>
      <c r="E19" s="2446"/>
      <c r="F19" s="323" t="s">
        <v>2257</v>
      </c>
      <c r="G19" s="2500" t="str">
        <f>G5</f>
        <v>估价对象所在区域公共配套设施齐备情况</v>
      </c>
    </row>
    <row r="20" spans="1:18">
      <c r="A20" s="2445"/>
      <c r="B20" s="2499" t="s">
        <v>2273</v>
      </c>
      <c r="C20" s="2498" t="str">
        <f>C9</f>
        <v>较好</v>
      </c>
      <c r="D20" s="2468"/>
      <c r="E20" s="2446"/>
      <c r="F20" s="323" t="s">
        <v>2260</v>
      </c>
      <c r="G20" s="2500" t="str">
        <f>G6</f>
        <v>估价对象所在区域基础设施水平</v>
      </c>
    </row>
    <row r="21" spans="1:18">
      <c r="A21" s="2445"/>
      <c r="B21" s="323" t="s">
        <v>2257</v>
      </c>
      <c r="C21" s="2500" t="str">
        <f>C7</f>
        <v>较好</v>
      </c>
      <c r="D21" s="2463"/>
      <c r="E21" s="2446"/>
      <c r="F21" s="2499" t="s">
        <v>2274</v>
      </c>
      <c r="G21" s="2502"/>
    </row>
    <row r="22" spans="1:18" ht="13.5" customHeight="1">
      <c r="A22" s="2445"/>
      <c r="B22" s="323" t="s">
        <v>2260</v>
      </c>
      <c r="C22" s="2500" t="str">
        <f>C8</f>
        <v>七通</v>
      </c>
      <c r="D22" s="2463"/>
      <c r="E22" s="2446"/>
      <c r="F22" s="2499" t="s">
        <v>2265</v>
      </c>
      <c r="G22" s="2501"/>
    </row>
    <row r="23" spans="1:18" s="799" customFormat="1" ht="15" thickBot="1">
      <c r="A23" s="2445"/>
      <c r="B23" s="2499" t="s">
        <v>2274</v>
      </c>
      <c r="C23" s="2502" t="s">
        <v>3455</v>
      </c>
      <c r="D23" s="1741"/>
      <c r="E23" s="2447"/>
      <c r="F23" s="2503" t="s">
        <v>2275</v>
      </c>
      <c r="G23" s="2504"/>
      <c r="H23" s="2488"/>
      <c r="I23" s="2489"/>
      <c r="J23" s="2488"/>
      <c r="K23" s="2488"/>
      <c r="L23" s="2489"/>
      <c r="M23" s="2488"/>
      <c r="N23" s="2488"/>
      <c r="O23" s="2489"/>
      <c r="P23" s="2488"/>
      <c r="Q23" s="2488"/>
      <c r="R23" s="2490"/>
    </row>
    <row r="24" spans="1:18" s="799" customFormat="1" ht="15" thickBot="1">
      <c r="A24" s="2448"/>
      <c r="B24" s="2503" t="s">
        <v>2276</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19397.46</v>
      </c>
      <c r="C1" s="2682"/>
      <c r="D1" s="2682"/>
      <c r="E1" s="2682"/>
      <c r="F1" s="2682"/>
      <c r="G1" s="2683"/>
      <c r="H1" s="2684"/>
      <c r="I1" s="2684"/>
      <c r="J1" s="2684"/>
      <c r="K1" s="2684"/>
    </row>
    <row r="2" spans="1:11" ht="16.5">
      <c r="A2" s="2509" t="s">
        <v>653</v>
      </c>
      <c r="B2" s="2509">
        <f>SUM(C14:C23)</f>
        <v>10358.120000000001</v>
      </c>
      <c r="C2" s="2682"/>
      <c r="D2" s="2682"/>
      <c r="E2" s="2682"/>
      <c r="F2" s="2682"/>
      <c r="G2" s="2683"/>
      <c r="H2" s="2684"/>
      <c r="I2" s="2684"/>
      <c r="J2" s="2684"/>
      <c r="K2" s="2684"/>
    </row>
    <row r="3" spans="1:11" ht="16.5">
      <c r="A3" s="2509" t="s">
        <v>662</v>
      </c>
      <c r="B3" s="2511">
        <f>项目基本情况!D3</f>
        <v>45023</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61233</v>
      </c>
      <c r="C5" s="2509">
        <f ca="1">IF(B5=D14,结果表!H102,ROUND(B5*10000/$B$1,0))</f>
        <v>31568</v>
      </c>
      <c r="D5" s="2509">
        <f ca="1">ROUND(B5*10000/$B$2,0)</f>
        <v>59116</v>
      </c>
      <c r="E5" s="2682"/>
      <c r="F5" s="2683"/>
      <c r="G5" s="2683"/>
      <c r="H5" s="2684"/>
      <c r="I5" s="2684"/>
      <c r="J5" s="2684"/>
      <c r="K5" s="2684"/>
    </row>
    <row r="6" spans="1:11" ht="16.5">
      <c r="A6" s="2509" t="s">
        <v>656</v>
      </c>
      <c r="B6" s="2509">
        <f ca="1">SUM(G14:G23)</f>
        <v>61233</v>
      </c>
      <c r="C6" s="2509">
        <f ca="1">IF(B6=G14,结果表!H108,ROUND(B6*10000/$B$1,0))</f>
        <v>31568</v>
      </c>
      <c r="D6" s="2509">
        <f ca="1">ROUND(B6*10000/$B$2,0)</f>
        <v>59116</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 ca="1">SUM(I14:I23)</f>
        <v>39088</v>
      </c>
      <c r="C8" s="2509">
        <f ca="1">IF(B8=I14,结果表!H112,ROUND(B8*10000/$B$1,0))</f>
        <v>20151</v>
      </c>
      <c r="D8" s="2509">
        <f ca="1">ROUND(B8*10000/$B$2,0)</f>
        <v>37737</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3357</v>
      </c>
      <c r="D10" s="2509" t="s">
        <v>3358</v>
      </c>
      <c r="E10" s="3437"/>
      <c r="F10" s="3441" t="s">
        <v>3359</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19397.46</v>
      </c>
      <c r="C14" s="2515">
        <f>结果表!C118</f>
        <v>10358.120000000001</v>
      </c>
      <c r="D14" s="2515">
        <f ca="1">结果表!H118</f>
        <v>61233</v>
      </c>
      <c r="E14" s="2515">
        <f ca="1">ROUND(D14*10000/B14,0)</f>
        <v>31568</v>
      </c>
      <c r="F14" s="2515">
        <f ca="1">ROUND(D14*10000/C14,0)</f>
        <v>59116</v>
      </c>
      <c r="G14" s="2515">
        <f ca="1">结果表!D122</f>
        <v>61233</v>
      </c>
      <c r="H14" s="2515"/>
      <c r="I14" s="2515">
        <f ca="1">结果表!D126</f>
        <v>39088</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90" zoomScaleNormal="100" zoomScaleSheetLayoutView="90" zoomScalePageLayoutView="80" workbookViewId="0">
      <selection activeCell="O24" sqref="O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3492</v>
      </c>
      <c r="H1" s="1750" t="str">
        <f>IF(G1="现房","——","估价对象范围")</f>
        <v>——</v>
      </c>
      <c r="I1" s="1751" t="s">
        <v>3493</v>
      </c>
    </row>
    <row r="2" spans="1:12" ht="21.75" customHeight="1" thickBot="1">
      <c r="A2" s="3593" t="str">
        <f>项目基本情况!S2</f>
        <v>北京市海淀区远大园六区部分商业用房房地产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t="s">
        <v>3434</v>
      </c>
      <c r="D4" s="1756" t="s">
        <v>3404</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1268</v>
      </c>
      <c r="B5" s="3560">
        <v>25</v>
      </c>
      <c r="C5" s="3576"/>
      <c r="D5" s="3596"/>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v>5</v>
      </c>
      <c r="D14" s="3596">
        <v>5</v>
      </c>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3" t="s">
        <v>2130</v>
      </c>
      <c r="F18" s="3584"/>
      <c r="G18" s="3584"/>
      <c r="H18" s="3584"/>
      <c r="I18" s="3584"/>
      <c r="K18" s="302" t="s">
        <v>1289</v>
      </c>
      <c r="L18" s="302">
        <f>IF(C1="",'数据-汇总表'!E3,SUMIF(项目类型,C1,'数据-汇总表'!E17:E26)+SUMIF(项目类型,C1,'数据-汇总表'!I17:I26))</f>
        <v>19397.46</v>
      </c>
      <c r="M18" s="302">
        <f>IF(C1="",'数据-汇总表'!E3,SUMIF(项目类型,C1,'数据-汇总表'!E17:E26))</f>
        <v>19397.46</v>
      </c>
    </row>
    <row r="19" spans="1:36" ht="15">
      <c r="A19" s="1761" t="s">
        <v>1290</v>
      </c>
      <c r="B19" s="1762" t="s">
        <v>1291</v>
      </c>
      <c r="C19" s="134">
        <f ca="1">SUMIF(INDIRECT("'"&amp;C4&amp;"'"&amp;"!A:A"),结果表!B19,INDIRECT("'"&amp;C4&amp;"'"&amp;"!B:B"))</f>
        <v>62880</v>
      </c>
      <c r="D19" s="135">
        <f ca="1">SUMIF(INDIRECT("'"&amp;D4&amp;"'"&amp;"!A:A"),结果表!B19,INDIRECT("'"&amp;D4&amp;"'"&amp;"!B:B"))</f>
        <v>59586</v>
      </c>
      <c r="E19" s="1761" t="s">
        <v>1292</v>
      </c>
      <c r="F19" s="1762" t="s">
        <v>1291</v>
      </c>
      <c r="G19" s="136">
        <f ca="1">ROUND(C19*$C$18+D19*$D$18,0)</f>
        <v>61233</v>
      </c>
      <c r="H19" s="1763" t="s">
        <v>1293</v>
      </c>
      <c r="I19" s="129"/>
      <c r="J19" s="725">
        <v>61219</v>
      </c>
      <c r="K19" s="302" t="s">
        <v>1294</v>
      </c>
      <c r="L19" s="302">
        <f>IF(C1="",'数据-汇总表'!D3,SUMIF(项目类型,C1,'数据-汇总表'!D17:D26)+SUMIF(项目类型,C1,'数据-汇总表'!H17:H27))</f>
        <v>10358.120000000001</v>
      </c>
      <c r="M19" s="302">
        <f>IF(C1="",'数据-汇总表'!D3,SUMIF(项目类型,C1,'数据-汇总表'!D17:D26))</f>
        <v>10358.120000000001</v>
      </c>
    </row>
    <row r="20" spans="1:36" ht="15">
      <c r="A20" s="1764"/>
      <c r="B20" s="1026" t="s">
        <v>1295</v>
      </c>
      <c r="C20" s="137">
        <f ca="1">SUMIF(INDIRECT("'"&amp;C4&amp;"'"&amp;"!A:A"),结果表!B20,INDIRECT("'"&amp;C4&amp;"'"&amp;"!B:B"))</f>
        <v>32417</v>
      </c>
      <c r="D20" s="138">
        <f ca="1">SUMIF(INDIRECT("'"&amp;D4&amp;"'"&amp;"!A:A"),结果表!B20,INDIRECT("'"&amp;D4&amp;"'"&amp;"!B:B"))</f>
        <v>30718</v>
      </c>
      <c r="E20" s="1764"/>
      <c r="F20" s="1026" t="s">
        <v>1295</v>
      </c>
      <c r="G20" s="139">
        <f ca="1">ROUND(C20*$C$18+D20*$D$18,0)</f>
        <v>31568</v>
      </c>
      <c r="H20" s="808" t="s">
        <v>1296</v>
      </c>
      <c r="I20" s="129"/>
    </row>
    <row r="21" spans="1:36" ht="15" customHeight="1" thickBot="1">
      <c r="A21" s="828"/>
      <c r="B21" s="1765" t="s">
        <v>1297</v>
      </c>
      <c r="C21" s="719">
        <f ca="1">ROUND(C19*10000/L19,0)</f>
        <v>60706</v>
      </c>
      <c r="D21" s="720">
        <f ca="1">ROUND(D19*10000/L19,0)</f>
        <v>57526</v>
      </c>
      <c r="E21" s="828"/>
      <c r="F21" s="1765" t="s">
        <v>1297</v>
      </c>
      <c r="G21" s="140">
        <f ca="1">ROUND(G19*10000/L19,0)</f>
        <v>59116</v>
      </c>
      <c r="H21" s="1766" t="s">
        <v>1296</v>
      </c>
      <c r="I21" s="129"/>
    </row>
    <row r="22" spans="1:36" ht="15" thickBot="1">
      <c r="A22" s="1688" t="s">
        <v>1298</v>
      </c>
      <c r="B22" s="1767"/>
      <c r="C22" s="1768"/>
      <c r="D22" s="721">
        <f ca="1">IF(C19&lt;D19,D19/C19-1,C19/D19-1)</f>
        <v>5.5281441949451171E-2</v>
      </c>
      <c r="E22" s="129"/>
      <c r="F22" s="129"/>
      <c r="G22" s="129"/>
      <c r="H22" s="129"/>
      <c r="I22" s="129"/>
      <c r="K22" s="3455" t="s">
        <v>3426</v>
      </c>
      <c r="L22" s="3455" t="s">
        <v>3427</v>
      </c>
      <c r="M22" s="3455" t="s">
        <v>3428</v>
      </c>
      <c r="N22" s="3455" t="s">
        <v>3429</v>
      </c>
    </row>
    <row r="23" spans="1:36" ht="13.5" thickBot="1">
      <c r="A23" s="1747"/>
      <c r="B23" s="1747"/>
      <c r="C23" s="1747"/>
      <c r="D23" s="1747"/>
      <c r="E23" s="129"/>
      <c r="F23" s="129"/>
      <c r="G23" s="129"/>
      <c r="H23" s="129"/>
      <c r="I23" s="129"/>
      <c r="K23" s="3456">
        <v>1</v>
      </c>
      <c r="L23" s="3456">
        <f>'数据-基础表'!G13</f>
        <v>7067.8</v>
      </c>
      <c r="M23" s="3456">
        <f>'数据-取费表'!W20</f>
        <v>1</v>
      </c>
      <c r="N23" s="3456">
        <f ca="1">ROUND(G19*10000/(L23*M23+L24*M24+L25*M25),0)</f>
        <v>43366</v>
      </c>
    </row>
    <row r="24" spans="1:36" ht="14.25">
      <c r="A24" s="3567" t="s">
        <v>1299</v>
      </c>
      <c r="B24" s="1762" t="s">
        <v>1291</v>
      </c>
      <c r="C24" s="136">
        <f>IF(B30=0,0,D30)</f>
        <v>0</v>
      </c>
      <c r="D24" s="1769"/>
      <c r="E24" s="129"/>
      <c r="F24" s="129"/>
      <c r="G24" s="129"/>
      <c r="H24" s="129"/>
      <c r="I24" s="129"/>
      <c r="K24" s="3456">
        <v>2</v>
      </c>
      <c r="L24" s="3456">
        <f>'数据-基础表'!G14</f>
        <v>7067.79</v>
      </c>
      <c r="M24" s="3456">
        <f>'数据-取费表'!W21</f>
        <v>0.7</v>
      </c>
      <c r="N24" s="3456">
        <f ca="1">ROUND(M24*$N$23,0)</f>
        <v>30356</v>
      </c>
    </row>
    <row r="25" spans="1:36" ht="14.25">
      <c r="A25" s="3568"/>
      <c r="B25" s="1026" t="s">
        <v>1295</v>
      </c>
      <c r="C25" s="141">
        <f>IF(B30=0,0,C30)</f>
        <v>0</v>
      </c>
      <c r="D25" s="1770"/>
      <c r="E25" s="129"/>
      <c r="F25" s="129"/>
      <c r="G25" s="129"/>
      <c r="H25" s="129"/>
      <c r="I25" s="129"/>
      <c r="K25" s="3456">
        <v>-1</v>
      </c>
      <c r="L25" s="3456">
        <f>'数据-基础表'!G15</f>
        <v>5261.87</v>
      </c>
      <c r="M25" s="3456">
        <f>典型户型修正!Q26</f>
        <v>0.4</v>
      </c>
      <c r="N25" s="3456">
        <f ca="1">ROUND(M25*$N$23,0)</f>
        <v>17346</v>
      </c>
    </row>
    <row r="26" spans="1:36" ht="13.5" customHeight="1">
      <c r="A26" s="1771" t="s">
        <v>1300</v>
      </c>
      <c r="B26" s="142" t="s">
        <v>1301</v>
      </c>
      <c r="C26" s="142" t="s">
        <v>1302</v>
      </c>
      <c r="D26" s="143" t="s">
        <v>1303</v>
      </c>
      <c r="E26" s="129"/>
      <c r="F26" s="129"/>
      <c r="G26" s="129"/>
      <c r="H26" s="129"/>
      <c r="I26" s="129"/>
      <c r="K26" s="3456"/>
      <c r="L26" s="3456"/>
      <c r="M26" s="3456"/>
      <c r="N26" s="3456"/>
    </row>
    <row r="27" spans="1:36" ht="14.25">
      <c r="A27" s="1771"/>
      <c r="B27" s="142">
        <v>0</v>
      </c>
      <c r="C27" s="142">
        <v>0</v>
      </c>
      <c r="D27" s="143">
        <f>ROUND(C27*B27/10000,0)</f>
        <v>0</v>
      </c>
      <c r="E27" s="129"/>
      <c r="F27" s="129"/>
      <c r="G27" s="129"/>
      <c r="H27" s="129"/>
      <c r="I27" s="129"/>
      <c r="K27" s="3456"/>
      <c r="L27" s="3456"/>
      <c r="M27" s="3456"/>
      <c r="N27" s="3456"/>
    </row>
    <row r="28" spans="1:36" ht="14.25">
      <c r="A28" s="1771"/>
      <c r="B28" s="142"/>
      <c r="C28" s="142"/>
      <c r="D28" s="143"/>
      <c r="E28" s="129"/>
      <c r="F28" s="129"/>
      <c r="G28" s="129"/>
      <c r="H28" s="129"/>
      <c r="I28" s="129"/>
      <c r="K28" s="3456"/>
      <c r="L28" s="3456">
        <f>SUM(L23:L27)</f>
        <v>19397.46</v>
      </c>
      <c r="M28" s="3456"/>
      <c r="N28" s="3456">
        <f ca="1">ROUND((N23*L23+N24*L24+N25*L25)/L28,0)</f>
        <v>31567</v>
      </c>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61233</v>
      </c>
      <c r="D32" s="1775" t="s">
        <v>3421</v>
      </c>
      <c r="E32" s="129"/>
      <c r="F32" s="129"/>
      <c r="G32" s="129"/>
      <c r="H32" s="129"/>
      <c r="I32" s="129"/>
    </row>
    <row r="33" spans="1:15" ht="15">
      <c r="A33" s="786" t="s">
        <v>1306</v>
      </c>
      <c r="B33" s="1776"/>
      <c r="C33" s="1777" t="s">
        <v>3422</v>
      </c>
      <c r="D33" s="1778" t="s">
        <v>3404</v>
      </c>
      <c r="E33" s="1779" t="s">
        <v>1307</v>
      </c>
      <c r="F33" s="1780" t="str">
        <f>IF(D32="楼面单价","取值（单价）","取值（总价）")</f>
        <v>取值（总价）</v>
      </c>
      <c r="G33" s="129"/>
      <c r="H33" s="129"/>
      <c r="I33" s="129"/>
    </row>
    <row r="34" spans="1:15" ht="15">
      <c r="A34" s="1781"/>
      <c r="B34" s="1782" t="s">
        <v>1308</v>
      </c>
      <c r="C34" s="148">
        <f ca="1">IF(C33="自定义",F34,C32-C35)</f>
        <v>51681</v>
      </c>
      <c r="D34" s="861">
        <f ca="1">IF(C33="自定义",ROUND(C34/C32,3),IF(C33="收益比率",SUMIF(INDIRECT("'"&amp;D33&amp;"'"&amp;"!b:b"),"土地收益比率",INDIRECT("'"&amp;D33&amp;"'"&amp;"!c:c")),SUMIF(INDIRECT("'"&amp;D33&amp;"'"&amp;"!b:b"),"土地成本比率",INDIRECT("'"&amp;D33&amp;"'"&amp;"!c:c"))))</f>
        <v>0.84399999999999997</v>
      </c>
      <c r="E34" s="1783" t="s">
        <v>1309</v>
      </c>
      <c r="F34" s="1330"/>
      <c r="G34" s="129"/>
      <c r="H34" s="129"/>
      <c r="I34" s="129"/>
    </row>
    <row r="35" spans="1:15" ht="15.75" thickBot="1">
      <c r="A35" s="1784"/>
      <c r="B35" s="1785" t="s">
        <v>1310</v>
      </c>
      <c r="C35" s="1170">
        <f ca="1">IF(C33="自定义",F35,ROUND(C32*D35,0))</f>
        <v>9552</v>
      </c>
      <c r="D35" s="1171">
        <f ca="1">IF(C33="自定义",ROUND(C35/C32,3),IF(C33="收益比率",SUMIF(INDIRECT("'"&amp;D33&amp;"'"&amp;"!b:b"),"建筑物收益比率",INDIRECT("'"&amp;D33&amp;"'"&amp;"!c:c")),SUMIF(INDIRECT("'"&amp;D33&amp;"'"&amp;"!b:b"),"建筑物成本比率",INDIRECT("'"&amp;D33&amp;"'"&amp;"!c:c"))))</f>
        <v>0.156</v>
      </c>
      <c r="E35" s="1786" t="s">
        <v>1311</v>
      </c>
      <c r="F35" s="154"/>
      <c r="G35" s="129"/>
      <c r="H35" s="129"/>
      <c r="I35" s="129"/>
    </row>
    <row r="36" spans="1:15" ht="15.75" thickBot="1">
      <c r="A36" s="3587" t="s">
        <v>1312</v>
      </c>
      <c r="B36" s="1787" t="s">
        <v>1313</v>
      </c>
      <c r="C36" s="145"/>
      <c r="D36" s="1788" t="s">
        <v>3494</v>
      </c>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4" t="s">
        <v>1326</v>
      </c>
      <c r="B45" s="3565"/>
      <c r="C45" s="3566"/>
      <c r="D45" s="155">
        <f ca="1">ROUND(H101*F45,0)</f>
        <v>42863</v>
      </c>
      <c r="E45" s="156" t="s">
        <v>1327</v>
      </c>
      <c r="F45" s="157">
        <v>0.7</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6"/>
      <c r="I46" s="159"/>
      <c r="J46" s="2520">
        <v>1</v>
      </c>
      <c r="K46" s="3623" t="s">
        <v>1331</v>
      </c>
      <c r="L46" s="3623"/>
      <c r="M46" s="3643"/>
      <c r="N46" s="3643"/>
      <c r="O46" s="3643"/>
    </row>
    <row r="47" spans="1:15" ht="12" customHeight="1">
      <c r="A47" s="160" t="s">
        <v>1332</v>
      </c>
      <c r="B47" s="161"/>
      <c r="C47" s="162"/>
      <c r="D47" s="1087" t="s">
        <v>1333</v>
      </c>
      <c r="E47" s="302" t="s">
        <v>1334</v>
      </c>
      <c r="F47" s="163" t="s">
        <v>1335</v>
      </c>
      <c r="G47" s="2543" t="s">
        <v>1336</v>
      </c>
      <c r="H47" s="2544"/>
      <c r="I47" s="159"/>
      <c r="J47" s="2520">
        <v>2</v>
      </c>
      <c r="K47" s="3623" t="s">
        <v>1337</v>
      </c>
      <c r="L47" s="3623"/>
      <c r="M47" s="3644">
        <f>'数据-取费表'!B2</f>
        <v>45023</v>
      </c>
      <c r="N47" s="3644"/>
      <c r="O47" s="3644"/>
    </row>
    <row r="48" spans="1:15" ht="25.5">
      <c r="A48" s="3592" t="s">
        <v>1338</v>
      </c>
      <c r="B48" s="3575"/>
      <c r="C48" s="3575"/>
      <c r="D48" s="2324">
        <f ca="1">IF(H48="情况1",0,IF(H48="情况2",D52,IF(H48="情况3",D53,IF(H48="情况4",D54))))</f>
        <v>2167</v>
      </c>
      <c r="E48" s="2334" t="str">
        <f>IF(H48="情况4","(销售额-原购置价)×税（费）率","销售额×税（费）率")</f>
        <v>(销售额-原购置价)×税（费）率</v>
      </c>
      <c r="F48" s="2545">
        <f>IF(H48="情况1","免征",'数据-取费表'!B41)</f>
        <v>5.6000000000000001E-2</v>
      </c>
      <c r="G48" s="2546" t="s">
        <v>1339</v>
      </c>
      <c r="H48" s="2547" t="s">
        <v>3437</v>
      </c>
      <c r="I48" s="1806"/>
      <c r="J48" s="2520">
        <v>3</v>
      </c>
      <c r="K48" s="3623" t="s">
        <v>1340</v>
      </c>
      <c r="L48" s="3623"/>
      <c r="M48" s="3645">
        <f ca="1">H101</f>
        <v>61233</v>
      </c>
      <c r="N48" s="3645"/>
      <c r="O48" s="3645"/>
    </row>
    <row r="49" spans="1:35" ht="25.5" customHeight="1">
      <c r="A49" s="2333" t="s">
        <v>1341</v>
      </c>
      <c r="B49" s="3559" t="s">
        <v>1342</v>
      </c>
      <c r="C49" s="3559"/>
      <c r="D49" s="1590">
        <v>0</v>
      </c>
      <c r="E49" s="324" t="s">
        <v>1343</v>
      </c>
      <c r="F49" s="2423" t="s">
        <v>28</v>
      </c>
      <c r="G49" s="3629"/>
      <c r="H49" s="2310" t="s">
        <v>2133</v>
      </c>
      <c r="I49" s="2311"/>
      <c r="J49" s="2520">
        <v>4</v>
      </c>
      <c r="K49" s="3623" t="str">
        <f>IF(项目基本情况!E8="房地产抵押价值","房地产抵押价值","抵押担保权已注销时的房地产抵押价值")</f>
        <v>房地产抵押价值</v>
      </c>
      <c r="L49" s="3623"/>
      <c r="M49" s="3645">
        <f ca="1">IF(项目基本情况!E8="房地产抵押价值",H107,H109)</f>
        <v>61233</v>
      </c>
      <c r="N49" s="3645"/>
      <c r="O49" s="3645"/>
    </row>
    <row r="50" spans="1:35" ht="25.5" customHeight="1">
      <c r="A50" s="2548"/>
      <c r="B50" s="3559" t="s">
        <v>1344</v>
      </c>
      <c r="C50" s="3559"/>
      <c r="D50" s="2549"/>
      <c r="E50" s="332"/>
      <c r="F50" s="2423"/>
      <c r="G50" s="3630"/>
      <c r="H50" s="2312" t="s">
        <v>2134</v>
      </c>
      <c r="I50" s="2311"/>
      <c r="J50" s="3642" t="s">
        <v>1345</v>
      </c>
      <c r="K50" s="3642"/>
      <c r="L50" s="3642"/>
      <c r="M50" s="3642"/>
      <c r="N50" s="3642"/>
      <c r="O50" s="3642"/>
    </row>
    <row r="51" spans="1:35" ht="20.45" customHeight="1">
      <c r="A51" s="2550"/>
      <c r="B51" s="3559" t="s">
        <v>1346</v>
      </c>
      <c r="C51" s="3559"/>
      <c r="D51" s="1087"/>
      <c r="E51" s="327"/>
      <c r="F51" s="2423"/>
      <c r="G51" s="3631"/>
      <c r="H51" s="2312" t="s">
        <v>2135</v>
      </c>
      <c r="I51" s="2311"/>
      <c r="J51" s="2521" t="s">
        <v>1347</v>
      </c>
      <c r="K51" s="3623" t="s">
        <v>1348</v>
      </c>
      <c r="L51" s="3623"/>
      <c r="M51" s="2521" t="s">
        <v>1349</v>
      </c>
      <c r="N51" s="2521" t="s">
        <v>1350</v>
      </c>
      <c r="O51" s="2521" t="s">
        <v>1351</v>
      </c>
    </row>
    <row r="52" spans="1:35" ht="24" customHeight="1">
      <c r="A52" s="2335" t="s">
        <v>1352</v>
      </c>
      <c r="B52" s="3559" t="s">
        <v>1353</v>
      </c>
      <c r="C52" s="3559"/>
      <c r="D52" s="1087">
        <f ca="1">ROUND(D45*'数据-取费表'!B41/(1+'数据-取费表'!C42),0)</f>
        <v>2286</v>
      </c>
      <c r="E52" s="2334" t="s">
        <v>1354</v>
      </c>
      <c r="F52" s="2551">
        <f>'数据-取费表'!B41</f>
        <v>5.6000000000000001E-2</v>
      </c>
      <c r="G52" s="2552"/>
      <c r="H52" s="2541"/>
      <c r="I52" s="1807"/>
      <c r="J52" s="2520">
        <v>1</v>
      </c>
      <c r="K52" s="3624" t="s">
        <v>1355</v>
      </c>
      <c r="L52" s="3624"/>
      <c r="M52" s="2522">
        <f ca="1">D48</f>
        <v>2167</v>
      </c>
      <c r="N52" s="2520" t="str">
        <f>E48</f>
        <v>(销售额-原购置价)×税（费）率</v>
      </c>
      <c r="O52" s="2523">
        <f>F48</f>
        <v>5.6000000000000001E-2</v>
      </c>
    </row>
    <row r="53" spans="1:35" ht="12" customHeight="1">
      <c r="A53" s="2335" t="s">
        <v>1356</v>
      </c>
      <c r="B53" s="3585" t="s">
        <v>2286</v>
      </c>
      <c r="C53" s="3586"/>
      <c r="D53" s="1087">
        <f ca="1">ROUND(D45*'数据-取费表'!B41/(1+'数据-取费表'!C42),0)</f>
        <v>2286</v>
      </c>
      <c r="E53" s="2334" t="s">
        <v>1354</v>
      </c>
      <c r="F53" s="2551">
        <f>'数据-取费表'!B41</f>
        <v>5.6000000000000001E-2</v>
      </c>
      <c r="G53" s="2552"/>
      <c r="H53" s="2541"/>
      <c r="I53" s="1807"/>
      <c r="J53" s="2520">
        <v>2</v>
      </c>
      <c r="K53" s="3624" t="s">
        <v>1357</v>
      </c>
      <c r="L53" s="3624"/>
      <c r="M53" s="2522">
        <f t="shared" ref="M53:O54" ca="1" si="0">D55</f>
        <v>21</v>
      </c>
      <c r="N53" s="2520" t="str">
        <f t="shared" si="0"/>
        <v>销售额×税（费）率</v>
      </c>
      <c r="O53" s="2523">
        <f t="shared" si="0"/>
        <v>5.0000000000000001E-4</v>
      </c>
    </row>
    <row r="54" spans="1:35" ht="12" customHeight="1">
      <c r="A54" s="2335" t="s">
        <v>1358</v>
      </c>
      <c r="B54" s="3585" t="s">
        <v>2287</v>
      </c>
      <c r="C54" s="3586"/>
      <c r="D54" s="1087">
        <f ca="1">C68</f>
        <v>2167</v>
      </c>
      <c r="E54" s="327" t="s">
        <v>1359</v>
      </c>
      <c r="F54" s="2551">
        <f>'数据-取费表'!B41</f>
        <v>5.6000000000000001E-2</v>
      </c>
      <c r="G54" s="2552"/>
      <c r="H54" s="2553"/>
      <c r="I54" s="1807"/>
      <c r="J54" s="2520">
        <v>3</v>
      </c>
      <c r="K54" s="3624" t="s">
        <v>1360</v>
      </c>
      <c r="L54" s="3624"/>
      <c r="M54" s="2522">
        <f t="shared" ca="1" si="0"/>
        <v>19957</v>
      </c>
      <c r="N54" s="2520" t="str">
        <f t="shared" si="0"/>
        <v>增值额×税（费）率</v>
      </c>
      <c r="O54" s="2524" t="str">
        <f t="shared" si="0"/>
        <v>——</v>
      </c>
    </row>
    <row r="55" spans="1:35" ht="24" customHeight="1">
      <c r="A55" s="3574" t="s">
        <v>1361</v>
      </c>
      <c r="B55" s="3575"/>
      <c r="C55" s="3575"/>
      <c r="D55" s="2324">
        <f ca="1">IF(H55="个人住宅",0,ROUND(D45*I55,0))</f>
        <v>21</v>
      </c>
      <c r="E55" s="2334" t="s">
        <v>1362</v>
      </c>
      <c r="F55" s="2551">
        <f>IF(H55="正常",I55,"免征")</f>
        <v>5.0000000000000001E-4</v>
      </c>
      <c r="G55" s="2552"/>
      <c r="H55" s="2547" t="s">
        <v>3438</v>
      </c>
      <c r="I55" s="165">
        <f>'数据-取费表'!B49</f>
        <v>5.0000000000000001E-4</v>
      </c>
      <c r="J55" s="2520" t="str">
        <f>IF(H59="非个人房产","",4)</f>
        <v/>
      </c>
      <c r="K55" s="3624" t="str">
        <f>IF(H59="非个人房产","——","个人所得税")</f>
        <v>——</v>
      </c>
      <c r="L55" s="3624"/>
      <c r="M55" s="2525" t="str">
        <f>D59</f>
        <v>——</v>
      </c>
      <c r="N55" s="2040" t="str">
        <f>E59</f>
        <v>——</v>
      </c>
      <c r="O55" s="2526" t="str">
        <f>F59</f>
        <v>——</v>
      </c>
    </row>
    <row r="56" spans="1:35" ht="24.75">
      <c r="A56" s="3574" t="s">
        <v>1363</v>
      </c>
      <c r="B56" s="3575"/>
      <c r="C56" s="3575"/>
      <c r="D56" s="2324">
        <f ca="1">IF(H56="个人住宅",D57,D58)</f>
        <v>19957</v>
      </c>
      <c r="E56" s="2334" t="s">
        <v>1364</v>
      </c>
      <c r="F56" s="2551" t="str">
        <f>IF(H56="正常",F58,"免征")</f>
        <v>——</v>
      </c>
      <c r="G56" s="2554" t="s">
        <v>1365</v>
      </c>
      <c r="H56" s="2555" t="s">
        <v>3438</v>
      </c>
      <c r="I56" s="1808"/>
      <c r="J56" s="2520" t="str">
        <f>IF(项目基本情况!K6="上海银行",IF(J55="",4,J55+1),"")</f>
        <v/>
      </c>
      <c r="K56" s="3647" t="str">
        <f>IF(项目基本情况!K6="上海银行","其他处置费用","")</f>
        <v/>
      </c>
      <c r="L56" s="3648"/>
      <c r="M56" s="2522" t="str">
        <f>IF(项目基本情况!K6="上海银行",M69,"")</f>
        <v/>
      </c>
      <c r="N56" s="3647" t="str">
        <f>IF(项目基本情况!K6="上海银行","包含处置中涉及的律师、诉讼、拍卖、评估等费用","")</f>
        <v/>
      </c>
      <c r="O56" s="3650"/>
    </row>
    <row r="57" spans="1:35" ht="12.75">
      <c r="A57" s="2335" t="s">
        <v>1341</v>
      </c>
      <c r="B57" s="3585" t="s">
        <v>1366</v>
      </c>
      <c r="C57" s="3586"/>
      <c r="D57" s="1590">
        <v>0</v>
      </c>
      <c r="E57" s="324" t="s">
        <v>1343</v>
      </c>
      <c r="F57" s="302"/>
      <c r="G57" s="2552"/>
      <c r="H57" s="2556"/>
      <c r="I57" s="1808"/>
      <c r="J57" s="3624">
        <f>IF(AND(J55="",J56=""),4,IF(项目基本情况!K6="上海银行",结果表!J56+1,结果表!J55+1))</f>
        <v>4</v>
      </c>
      <c r="K57" s="3624" t="s">
        <v>1367</v>
      </c>
      <c r="L57" s="2527" t="s">
        <v>1368</v>
      </c>
      <c r="M57" s="2528"/>
      <c r="N57" s="2529">
        <f ca="1">SUMIF(M52:M56,"&lt;9e307")</f>
        <v>22145</v>
      </c>
      <c r="O57" s="2530"/>
      <c r="P57" s="2686">
        <f ca="1">N57/M49</f>
        <v>0.36165139712246663</v>
      </c>
    </row>
    <row r="58" spans="1:35" ht="24.75">
      <c r="A58" s="2335" t="s">
        <v>1352</v>
      </c>
      <c r="B58" s="3585" t="s">
        <v>1369</v>
      </c>
      <c r="C58" s="3559"/>
      <c r="D58" s="2324">
        <f ca="1">IF(H58="转让取得",C81,C97)</f>
        <v>19957</v>
      </c>
      <c r="E58" s="2334" t="s">
        <v>1364</v>
      </c>
      <c r="F58" s="302" t="s">
        <v>28</v>
      </c>
      <c r="G58" s="2552"/>
      <c r="H58" s="2555" t="s">
        <v>3439</v>
      </c>
      <c r="I58" s="1808"/>
      <c r="J58" s="3624"/>
      <c r="K58" s="3624"/>
      <c r="L58" s="2527" t="s">
        <v>1370</v>
      </c>
      <c r="M58" s="2531"/>
      <c r="N58" s="2532" t="str">
        <f ca="1">NUMBERSTRING(INT(N57*10000),2)&amp;"元整"</f>
        <v>贰亿贰仟壹佰肆拾伍万元整</v>
      </c>
      <c r="O58" s="2533"/>
    </row>
    <row r="59" spans="1:35" ht="24.75" thickBot="1">
      <c r="A59" s="3627" t="s">
        <v>1371</v>
      </c>
      <c r="B59" s="3628"/>
      <c r="C59" s="3628"/>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3440</v>
      </c>
      <c r="I59" s="2313" t="s">
        <v>2136</v>
      </c>
      <c r="J59" s="3625">
        <f>J57+1</f>
        <v>5</v>
      </c>
      <c r="K59" s="3624" t="s">
        <v>1372</v>
      </c>
      <c r="L59" s="2520" t="s">
        <v>1368</v>
      </c>
      <c r="M59" s="2534"/>
      <c r="N59" s="2535">
        <f ca="1">M49-N57</f>
        <v>39088</v>
      </c>
      <c r="O59" s="2536"/>
    </row>
    <row r="60" spans="1:35" ht="12" customHeight="1">
      <c r="A60" s="1809"/>
      <c r="B60" s="1747"/>
      <c r="C60" s="1747"/>
      <c r="D60" s="1747"/>
      <c r="E60" s="1578"/>
      <c r="F60" s="1808"/>
      <c r="G60" s="1808"/>
      <c r="H60" s="1810"/>
      <c r="I60" s="129"/>
      <c r="J60" s="3626"/>
      <c r="K60" s="3624"/>
      <c r="L60" s="2527" t="s">
        <v>1370</v>
      </c>
      <c r="M60" s="2531"/>
      <c r="N60" s="2532" t="str">
        <f ca="1">NUMBERSTRING(INT(N59*10000),2)&amp;"元整"</f>
        <v>叁亿玖仟零捌拾捌万元整</v>
      </c>
      <c r="O60" s="2533"/>
    </row>
    <row r="61" spans="1:35" ht="13.5" thickBot="1">
      <c r="A61" s="3572" t="s">
        <v>1373</v>
      </c>
      <c r="B61" s="3572"/>
      <c r="C61" s="3572"/>
      <c r="D61" s="3572"/>
      <c r="E61" s="3572"/>
      <c r="F61" s="1808"/>
      <c r="G61" s="1808"/>
      <c r="H61" s="1810"/>
      <c r="I61" s="129"/>
      <c r="J61" s="2520">
        <f>J59+1</f>
        <v>6</v>
      </c>
      <c r="K61" s="3624" t="s">
        <v>1374</v>
      </c>
      <c r="L61" s="3624"/>
      <c r="M61" s="2537"/>
      <c r="N61" s="2538">
        <f ca="1">ROUND(N59*10000/'数据-汇总表'!E3,0)</f>
        <v>20151</v>
      </c>
      <c r="O61" s="2539"/>
    </row>
    <row r="62" spans="1:35" ht="12.75">
      <c r="A62" s="3590" t="s">
        <v>1375</v>
      </c>
      <c r="B62" s="3591"/>
      <c r="C62" s="2021"/>
      <c r="D62" s="2021" t="s">
        <v>1376</v>
      </c>
      <c r="E62" s="166" t="s">
        <v>1377</v>
      </c>
      <c r="F62" s="1808"/>
      <c r="G62" s="1808"/>
      <c r="H62" s="1810"/>
      <c r="I62" s="129"/>
    </row>
    <row r="63" spans="1:35" ht="12.75">
      <c r="A63" s="173" t="s">
        <v>330</v>
      </c>
      <c r="B63" s="167" t="s">
        <v>1378</v>
      </c>
      <c r="C63" s="2561">
        <f ca="1">ROUND((C64+C65)/(1+'数据-取费表'!C42),0)</f>
        <v>40822</v>
      </c>
      <c r="D63" s="167"/>
      <c r="E63" s="168"/>
      <c r="F63" s="1808"/>
      <c r="G63" s="1808"/>
      <c r="H63" s="1810"/>
      <c r="I63" s="129"/>
      <c r="J63" s="3649" t="s">
        <v>1379</v>
      </c>
      <c r="K63" s="1332" t="s">
        <v>1380</v>
      </c>
      <c r="L63" s="1332">
        <f ca="1">IF(M49&gt;10000,M49*0.5%,IF(AND(M49&gt;1000,M49&lt;=10000),M49*1%,IF(AND(M49&gt;100,M49&lt;=1000),M49*3%,IF(AND(M49&gt;10,M49&lt;=100),M49*5%,M49*8%))))</f>
        <v>306.16500000000002</v>
      </c>
      <c r="M63" s="302">
        <f ca="1">ROUND(L63,1)</f>
        <v>306.2</v>
      </c>
      <c r="N63" s="2540"/>
      <c r="Z63" s="1752"/>
      <c r="AI63" s="1753"/>
    </row>
    <row r="64" spans="1:35" ht="14.25" customHeight="1">
      <c r="A64" s="169" t="s">
        <v>325</v>
      </c>
      <c r="B64" s="170" t="s">
        <v>1381</v>
      </c>
      <c r="C64" s="2562">
        <f ca="1">D45</f>
        <v>42863</v>
      </c>
      <c r="D64" s="170" t="s">
        <v>26</v>
      </c>
      <c r="E64" s="172"/>
      <c r="F64" s="1808"/>
      <c r="G64" s="1808"/>
      <c r="H64" s="1810"/>
      <c r="I64" s="129"/>
      <c r="J64" s="3649"/>
      <c r="K64" s="1332" t="s">
        <v>1382</v>
      </c>
      <c r="L64" s="1332">
        <f ca="1">IF(M49&gt;2000,M49*0.5%,IF(AND(M49&gt;1000,M49&lt;=2000),M49*0.6%,IF(AND(M49&gt;500,M49&lt;=1000),M49*0.7%,IF(AND(M49&gt;200,M49&lt;=500),M49*0.8%,IF(AND(M49&gt;100,M49&lt;=200),M49*0.9%,IF(AND(M49&gt;50,M49&lt;=100),M49*1%,IF(AND(M49&gt;20,M49&lt;=50),M49*1.5%,IF(AND(M49&gt;10,M49&lt;=20),M49*2%,IF(AND(M49&gt;1,M49&lt;=10),M49*2.5%)))))))))</f>
        <v>306.16500000000002</v>
      </c>
      <c r="M64" s="302">
        <f t="shared" ref="M64:M65" ca="1" si="1">ROUND(L64,1)</f>
        <v>306.2</v>
      </c>
      <c r="N64" s="2541" t="s">
        <v>1383</v>
      </c>
      <c r="Z64" s="1752"/>
      <c r="AI64" s="1753"/>
    </row>
    <row r="65" spans="1:35" ht="14.25" customHeight="1">
      <c r="A65" s="169" t="s">
        <v>326</v>
      </c>
      <c r="B65" s="170" t="s">
        <v>1384</v>
      </c>
      <c r="C65" s="2563"/>
      <c r="D65" s="170"/>
      <c r="E65" s="172"/>
      <c r="F65" s="1808"/>
      <c r="G65" s="1808"/>
      <c r="H65" s="1810"/>
      <c r="I65" s="129"/>
      <c r="J65" s="3649"/>
      <c r="K65" s="1332" t="s">
        <v>1385</v>
      </c>
      <c r="L65" s="1332">
        <f ca="1">IF(M49&gt;1000,M49*0.1%,IF(AND(M49&gt;500,M49&lt;=1000),M49*0.5%,IF(AND(M49&gt;50,M49&lt;=500),M49*1%,IF(AND(M49&gt;1,M49&lt;=50),M49*1.5%))))</f>
        <v>61.233000000000004</v>
      </c>
      <c r="M65" s="302">
        <f t="shared" ca="1" si="1"/>
        <v>61.2</v>
      </c>
      <c r="N65" s="2541" t="s">
        <v>1383</v>
      </c>
      <c r="Z65" s="1752"/>
      <c r="AI65" s="1753"/>
    </row>
    <row r="66" spans="1:35" ht="14.25" customHeight="1">
      <c r="A66" s="173" t="s">
        <v>327</v>
      </c>
      <c r="B66" s="174" t="s">
        <v>1386</v>
      </c>
      <c r="C66" s="2564">
        <f>C75/1.05</f>
        <v>2124.4837142857141</v>
      </c>
      <c r="D66" s="174" t="s">
        <v>26</v>
      </c>
      <c r="E66" s="1338" t="s">
        <v>671</v>
      </c>
      <c r="F66" s="1808"/>
      <c r="G66" s="1808"/>
      <c r="H66" s="1810"/>
      <c r="I66" s="129"/>
      <c r="J66" s="3649"/>
      <c r="K66" s="1332" t="s">
        <v>1387</v>
      </c>
      <c r="L66" s="1332">
        <f ca="1">M49*0.5%</f>
        <v>306.16500000000002</v>
      </c>
      <c r="M66" s="302">
        <f ca="1">IF(L66&gt;0.5,0.5,ROUND(L66,0))</f>
        <v>0.5</v>
      </c>
      <c r="N66" s="2541" t="s">
        <v>1388</v>
      </c>
      <c r="Z66" s="1752"/>
      <c r="AI66" s="1753"/>
    </row>
    <row r="67" spans="1:35" ht="14.25" customHeight="1">
      <c r="A67" s="173" t="s">
        <v>328</v>
      </c>
      <c r="B67" s="174" t="s">
        <v>1389</v>
      </c>
      <c r="C67" s="2565">
        <f ca="1">C63-C66</f>
        <v>38697.516285714286</v>
      </c>
      <c r="D67" s="170" t="s">
        <v>26</v>
      </c>
      <c r="E67" s="172"/>
      <c r="F67" s="1808"/>
      <c r="G67" s="1808"/>
      <c r="H67" s="1810"/>
      <c r="I67" s="129"/>
      <c r="J67" s="3649"/>
      <c r="K67" s="1332" t="s">
        <v>1390</v>
      </c>
      <c r="L67" s="1332">
        <f ca="1">IF(M49&gt;=10000,(8.25+(M49-10000)*0.01%),IF(AND(M49&gt;=8000,M49&lt;10000),(7.85+(M49-8000)*0.02%),IF(AND(M49&gt;=5000,M49&lt;8000),(6.65+(M49-5000)*0.04%),IF(AND(M49&gt;=2000,M49&lt;5000),(4.25+(PM49-2000)*0.08%),IF(AND(M49&gt;=1000,M49&lt;2000),(2.75+(M49-1000)*0.15%),IF(AND(M49&gt;=100,M49&lt;1000),(0.5+(M49-100)*0.25%),IF(AND(M49&gt;0,M49&lt;100),M49*0.5%)))))))</f>
        <v>13.3733</v>
      </c>
      <c r="M67" s="302">
        <f ca="1">ROUND(L67*0.9,1)</f>
        <v>12</v>
      </c>
      <c r="N67" s="2540"/>
      <c r="Z67" s="1752"/>
      <c r="AI67" s="1753"/>
    </row>
    <row r="68" spans="1:35" ht="14.25" customHeight="1" thickBot="1">
      <c r="A68" s="176" t="s">
        <v>329</v>
      </c>
      <c r="B68" s="177" t="s">
        <v>1391</v>
      </c>
      <c r="C68" s="2566">
        <f ca="1">IF(C67&lt;=0,0,ROUND(C67*D68,0))</f>
        <v>2167</v>
      </c>
      <c r="D68" s="2567">
        <f>'数据-取费表'!B41</f>
        <v>5.6000000000000001E-2</v>
      </c>
      <c r="E68" s="178"/>
      <c r="F68" s="1808"/>
      <c r="G68" s="1808"/>
      <c r="H68" s="1810"/>
      <c r="I68" s="129"/>
      <c r="J68" s="3649"/>
      <c r="K68" s="1332" t="s">
        <v>1392</v>
      </c>
      <c r="L68" s="1332">
        <f ca="1">IF(M49&gt;10000,M49*0.5%,IF(AND(M49&gt;5000,M49&lt;=10000),M49*1%,IF(AND(M49&gt;1000,M49&lt;=5000),M49*2%,IF(AND(M49&gt;200,M49&lt;=1000),M49*3%,M49*5%))))</f>
        <v>306.16500000000002</v>
      </c>
      <c r="M68" s="302">
        <f ca="1">ROUND(L68,1)</f>
        <v>306.2</v>
      </c>
      <c r="N68" s="2540"/>
      <c r="Z68" s="1752"/>
      <c r="AI68" s="1753"/>
    </row>
    <row r="69" spans="1:35" s="1772" customFormat="1" ht="16.5" customHeight="1">
      <c r="A69" s="1811"/>
      <c r="B69" s="1812"/>
      <c r="C69" s="1813"/>
      <c r="D69" s="1814"/>
      <c r="E69" s="1815"/>
      <c r="F69" s="1578"/>
      <c r="G69" s="1578"/>
      <c r="H69" s="1577"/>
      <c r="I69" s="1747"/>
      <c r="J69" s="3649"/>
      <c r="K69" s="1332" t="s">
        <v>1393</v>
      </c>
      <c r="L69" s="1332"/>
      <c r="M69" s="302">
        <f ca="1">ROUND(SUM(M63:M68),0)</f>
        <v>992</v>
      </c>
      <c r="N69" s="2542">
        <f ca="1">M69/M49</f>
        <v>1.6200414809008214E-2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40822</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4775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4530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v>2230.7078999999999</v>
      </c>
      <c r="D75" s="170" t="s">
        <v>26</v>
      </c>
      <c r="E75" s="184" t="s">
        <v>1399</v>
      </c>
      <c r="F75" s="2569" t="s">
        <v>3435</v>
      </c>
      <c r="G75" s="184" t="s">
        <v>1400</v>
      </c>
      <c r="H75" s="2570">
        <v>20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2231</v>
      </c>
      <c r="D76" s="2571">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68</v>
      </c>
      <c r="D77" s="2572">
        <f>'数据-取费表'!B48+'数据-取费表'!B49</f>
        <v>3.0499999999999999E-2</v>
      </c>
      <c r="E77" s="2324" t="s">
        <v>1404</v>
      </c>
      <c r="F77" s="186"/>
      <c r="G77" s="1822" t="s">
        <v>3436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245</v>
      </c>
      <c r="D78" s="2574">
        <f>'数据-取费表'!B43</f>
        <v>6.000000000000001E-3</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36047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7.5491099476439789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19957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40822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245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651" t="s">
        <v>2128</v>
      </c>
      <c r="H90" s="3652"/>
      <c r="I90" s="1821"/>
      <c r="J90" s="2518"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69" t="s">
        <v>1422</v>
      </c>
      <c r="F92" s="3570"/>
      <c r="G92" s="3570"/>
      <c r="H92" s="3579"/>
      <c r="I92" s="1821"/>
      <c r="J92" s="2519"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245</v>
      </c>
      <c r="D93" s="2574">
        <f>'数据-取费表'!B43</f>
        <v>6.000000000000001E-3</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40577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165.6204081632653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24260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2" t="str">
        <f>C4</f>
        <v>典型户型修正</v>
      </c>
      <c r="D101" s="2583" t="str">
        <f>D4</f>
        <v>成本法</v>
      </c>
      <c r="E101" s="3646" t="s">
        <v>1431</v>
      </c>
      <c r="F101" s="3603"/>
      <c r="G101" s="1827" t="s">
        <v>1432</v>
      </c>
      <c r="H101" s="2592">
        <f ca="1">H118</f>
        <v>61233</v>
      </c>
      <c r="I101" s="129"/>
    </row>
    <row r="102" spans="1:35" ht="18.75" customHeight="1">
      <c r="A102" s="3605" t="s">
        <v>1433</v>
      </c>
      <c r="B102" s="2581" t="s">
        <v>1432</v>
      </c>
      <c r="C102" s="2582">
        <f ca="1">IF(D32="楼面单价",ROUND(C19,0),C19)</f>
        <v>62880</v>
      </c>
      <c r="D102" s="2583">
        <f ca="1">IF(D32="楼面单价",ROUND(D19,0),D19)</f>
        <v>59586</v>
      </c>
      <c r="E102" s="3646"/>
      <c r="F102" s="3603"/>
      <c r="G102" s="1827" t="s">
        <v>1434</v>
      </c>
      <c r="H102" s="2552">
        <f ca="1">I118</f>
        <v>31568</v>
      </c>
      <c r="I102" s="129"/>
    </row>
    <row r="103" spans="1:35" ht="42.75" customHeight="1">
      <c r="A103" s="3605"/>
      <c r="B103" s="2581" t="s">
        <v>1434</v>
      </c>
      <c r="C103" s="2584">
        <f ca="1">C20</f>
        <v>32417</v>
      </c>
      <c r="D103" s="2585">
        <f ca="1">D20</f>
        <v>30718</v>
      </c>
      <c r="E103" s="3640" t="s">
        <v>1435</v>
      </c>
      <c r="F103" s="3641"/>
      <c r="G103" s="1828" t="s">
        <v>1436</v>
      </c>
      <c r="H103" s="2592">
        <f>IF(D36="正常操作",H104+H105+H106,H105+H106)</f>
        <v>0</v>
      </c>
      <c r="I103" s="129"/>
    </row>
    <row r="104" spans="1:35" ht="18.75" customHeight="1">
      <c r="A104" s="3605" t="s">
        <v>1437</v>
      </c>
      <c r="B104" s="2586" t="s">
        <v>1432</v>
      </c>
      <c r="C104" s="2587">
        <f ca="1">H118</f>
        <v>61233</v>
      </c>
      <c r="D104" s="2588"/>
      <c r="E104" s="1674" t="s">
        <v>1438</v>
      </c>
      <c r="F104" s="1666"/>
      <c r="G104" s="1828" t="s">
        <v>1436</v>
      </c>
      <c r="H104" s="2593" t="str">
        <f>IF(D36="同一抵押权人同一抵押物续贷",C36&amp;"（续贷，未扣减，详见特别提示）",C36)</f>
        <v>（续贷，未扣减，详见特别提示）</v>
      </c>
      <c r="I104" s="129"/>
    </row>
    <row r="105" spans="1:35" ht="18.75" customHeight="1" thickBot="1">
      <c r="A105" s="3606"/>
      <c r="B105" s="2589" t="s">
        <v>1434</v>
      </c>
      <c r="C105" s="2590">
        <f ca="1">I118</f>
        <v>31568</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02" t="str">
        <f>IF(项目基本情况!E8="已注销","——","3.房地产抵押价值")</f>
        <v>3.房地产抵押价值</v>
      </c>
      <c r="F107" s="3603"/>
      <c r="G107" s="1827" t="s">
        <v>1432</v>
      </c>
      <c r="H107" s="2592">
        <f ca="1">IF(E107="——","——",H101-H103)</f>
        <v>61233</v>
      </c>
      <c r="I107" s="129"/>
    </row>
    <row r="108" spans="1:35" ht="18.75" customHeight="1">
      <c r="A108" s="129"/>
      <c r="B108" s="129"/>
      <c r="C108" s="129"/>
      <c r="D108" s="129"/>
      <c r="E108" s="3602"/>
      <c r="F108" s="3603"/>
      <c r="G108" s="1827" t="s">
        <v>1434</v>
      </c>
      <c r="H108" s="2552">
        <f ca="1">IF(H107=H101,H102,ROUND(H107*10000/'数据-汇总表'!E3,0))</f>
        <v>31568</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5" t="str">
        <f>IF(E109="——","——",H101-H105-H106)</f>
        <v>——</v>
      </c>
      <c r="I109" s="129"/>
    </row>
    <row r="110" spans="1:35" ht="18.75" customHeight="1">
      <c r="A110" s="129"/>
      <c r="B110" s="129"/>
      <c r="C110" s="129"/>
      <c r="D110" s="129"/>
      <c r="E110" s="3602"/>
      <c r="F110" s="3603"/>
      <c r="G110" s="1827" t="s">
        <v>1434</v>
      </c>
      <c r="H110" s="2552"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4.抵押净值</v>
      </c>
      <c r="F111" s="3604"/>
      <c r="G111" s="1827" t="s">
        <v>1432</v>
      </c>
      <c r="H111" s="2592">
        <f ca="1">IF(E111="——","——",N59)</f>
        <v>39088</v>
      </c>
      <c r="I111" s="129"/>
    </row>
    <row r="112" spans="1:35" ht="18.75" customHeight="1" thickBot="1">
      <c r="A112" s="129"/>
      <c r="B112" s="129"/>
      <c r="C112" s="129"/>
      <c r="D112" s="129"/>
      <c r="E112" s="3635"/>
      <c r="F112" s="3636"/>
      <c r="G112" s="1830" t="s">
        <v>1434</v>
      </c>
      <c r="H112" s="2596">
        <f ca="1">IF(E111="——","——",N61)</f>
        <v>20151</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597" t="str">
        <f>项目基本情况!S2</f>
        <v>北京市海淀区远大园六区部分商业用房房地产</v>
      </c>
      <c r="B118" s="2329">
        <f>M18</f>
        <v>19397.46</v>
      </c>
      <c r="C118" s="2329">
        <f>M19</f>
        <v>10358.120000000001</v>
      </c>
      <c r="D118" s="2329">
        <f ca="1">ROUND(IF(D32="总价",C34,E118*B118/10000),0)</f>
        <v>51681</v>
      </c>
      <c r="E118" s="2329">
        <f ca="1">ROUND(IF(C33="自定义",IF(D32="楼面单价",C34,D118*10000/B118),I118-G118),0)</f>
        <v>26644</v>
      </c>
      <c r="F118" s="2329">
        <f ca="1">ROUND(IF(D32="总价",C35,G118*B118/10000),0)</f>
        <v>9552</v>
      </c>
      <c r="G118" s="2329">
        <f ca="1">ROUND(IF(D32="楼面单价",C35,F118*10000/B118),0)</f>
        <v>4924</v>
      </c>
      <c r="H118" s="2329">
        <f ca="1">ROUND(IF(D32="总价",C32,I118*B118/10000),0)</f>
        <v>61233</v>
      </c>
      <c r="I118" s="2329">
        <f ca="1">ROUND(IF(D32="楼面单价",C32,H118*10000/B118),0)</f>
        <v>31568</v>
      </c>
    </row>
    <row r="119" spans="1:27" ht="18.75" customHeight="1">
      <c r="A119" s="3573" t="s">
        <v>1452</v>
      </c>
      <c r="B119" s="3573"/>
      <c r="C119" s="3573"/>
      <c r="D119" s="3613" t="str">
        <f ca="1">NUMBERSTRING(INT(D118*10000),2)&amp;"元整"</f>
        <v>伍亿壹仟陆佰捌拾壹万元整</v>
      </c>
      <c r="E119" s="3615"/>
      <c r="F119" s="3613" t="str">
        <f ca="1">NUMBERSTRING(INT(F118*10000),2)&amp;"元整"</f>
        <v>玖仟伍佰伍拾贰万元整</v>
      </c>
      <c r="G119" s="3615"/>
      <c r="H119" s="3613" t="str">
        <f ca="1">NUMBERSTRING(INT(H118*10000),2)&amp;"元整"</f>
        <v>陆亿壹仟贰佰叁拾叁万元整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61233</v>
      </c>
      <c r="E122" s="3638"/>
      <c r="F122" s="3638"/>
      <c r="G122" s="3638"/>
      <c r="H122" s="3638"/>
      <c r="I122" s="3639"/>
      <c r="AA122" s="725"/>
    </row>
    <row r="123" spans="1:27" ht="18.75" customHeight="1">
      <c r="A123" s="3573" t="s">
        <v>1452</v>
      </c>
      <c r="B123" s="3573"/>
      <c r="C123" s="3573"/>
      <c r="D123" s="3613" t="str">
        <f ca="1">NUMBERSTRING(INT(D122*10000),2)&amp;"元整"</f>
        <v>陆亿壹仟贰佰叁拾叁万元整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抵押净值</v>
      </c>
      <c r="B126" s="3604"/>
      <c r="C126" s="3604"/>
      <c r="D126" s="3637">
        <f ca="1">H111</f>
        <v>39088</v>
      </c>
      <c r="E126" s="3638"/>
      <c r="F126" s="3638"/>
      <c r="G126" s="3638"/>
      <c r="H126" s="3638"/>
      <c r="I126" s="3639"/>
      <c r="AA126" s="725"/>
    </row>
    <row r="127" spans="1:27" ht="18.75" customHeight="1">
      <c r="A127" s="3573" t="s">
        <v>1452</v>
      </c>
      <c r="B127" s="3573"/>
      <c r="C127" s="3573"/>
      <c r="D127" s="3613" t="str">
        <f ca="1">NUMBERSTRING(INT(D126*10000),2)&amp;"元整"</f>
        <v>叁亿玖仟零捌拾捌万元整</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H20" sqref="H20"/>
      <selection pane="bottomLeft" activeCell="U36" sqref="U3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6" t="s">
        <v>2084</v>
      </c>
      <c r="D1" s="3657"/>
      <c r="E1" s="3657"/>
      <c r="F1" s="3657"/>
      <c r="G1" s="3657"/>
      <c r="H1" s="3657"/>
      <c r="I1" s="3657"/>
      <c r="J1" s="3657"/>
      <c r="K1" s="3657"/>
      <c r="L1" s="3657"/>
      <c r="M1" s="3657"/>
      <c r="N1" s="3657"/>
      <c r="O1" s="3657"/>
      <c r="P1" s="3657"/>
      <c r="Q1" s="3657"/>
      <c r="R1" s="3657"/>
      <c r="S1" s="3658"/>
      <c r="T1" s="983" t="s">
        <v>2085</v>
      </c>
    </row>
    <row r="2" spans="1:45" s="655" customFormat="1" ht="38.25">
      <c r="A2" s="984"/>
      <c r="B2" s="651" t="s">
        <v>2086</v>
      </c>
      <c r="C2" s="652" t="str">
        <f t="shared" ref="C2:L2" si="0">C3&amp;"(含)"&amp;"-"&amp;D3</f>
        <v>0(含)-1000000</v>
      </c>
      <c r="D2" s="653" t="str">
        <f t="shared" si="0"/>
        <v>1000000(含)-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
      <c r="A5" s="994"/>
      <c r="B5" s="3468" t="s">
        <v>3495</v>
      </c>
      <c r="C5" s="3469" t="s">
        <v>3496</v>
      </c>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v>1</v>
      </c>
      <c r="D17" s="1011">
        <v>2</v>
      </c>
      <c r="E17" s="1011">
        <v>-1</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40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62880</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ROUND(B20*10000/B22,0)</f>
        <v>32417</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19397.46</v>
      </c>
      <c r="C22" s="3653" t="s">
        <v>27</v>
      </c>
      <c r="D22" s="3654"/>
      <c r="E22" s="3654"/>
      <c r="F22" s="3654"/>
      <c r="G22" s="3654"/>
      <c r="H22" s="3654"/>
      <c r="I22" s="3654"/>
      <c r="J22" s="3654"/>
      <c r="K22" s="3654"/>
      <c r="L22" s="3654"/>
      <c r="M22" s="3654"/>
      <c r="N22" s="3654"/>
      <c r="O22" s="3654"/>
      <c r="P22" s="3654"/>
      <c r="Q22" s="3655"/>
      <c r="R22" s="663">
        <f>ROUND(S22*10000/B22,0)</f>
        <v>32417</v>
      </c>
      <c r="S22" s="21">
        <f>SUM(S24:S10000)</f>
        <v>62880</v>
      </c>
    </row>
    <row r="23" spans="1:45" s="9" customFormat="1" ht="24">
      <c r="A23" s="8" t="s">
        <v>2099</v>
      </c>
      <c r="B23" s="8" t="s">
        <v>2100</v>
      </c>
      <c r="C23" s="8" t="s">
        <v>2101</v>
      </c>
      <c r="D23" s="8" t="str">
        <f>B5</f>
        <v>装修</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'数据-基础表'!I13</f>
        <v>7067.8</v>
      </c>
      <c r="C24" s="2806">
        <v>1</v>
      </c>
      <c r="D24" s="2807" t="s">
        <v>3448</v>
      </c>
      <c r="E24" s="2806">
        <v>1</v>
      </c>
      <c r="F24" s="2807"/>
      <c r="G24" s="2806">
        <v>1</v>
      </c>
      <c r="H24" s="2807"/>
      <c r="I24" s="2806">
        <v>1</v>
      </c>
      <c r="J24" s="2807"/>
      <c r="K24" s="2806">
        <v>1</v>
      </c>
      <c r="L24" s="2807"/>
      <c r="M24" s="2806">
        <v>1</v>
      </c>
      <c r="N24" s="2807"/>
      <c r="O24" s="2806">
        <v>1</v>
      </c>
      <c r="P24" s="2807">
        <v>1</v>
      </c>
      <c r="Q24" s="2806">
        <v>1</v>
      </c>
      <c r="R24" s="668">
        <f>'比较法-商业'!C49</f>
        <v>44533</v>
      </c>
      <c r="S24" s="666">
        <f t="shared" ref="S24:S54" si="11">ROUND(R24*B24/10000,0)</f>
        <v>31475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665">
        <f>'数据-基础表'!I14</f>
        <v>7067.79</v>
      </c>
      <c r="C25" s="21">
        <f>IF(B25="",1,(LOOKUP(B25,$3:$3,$4:$4)-LOOKUP($B$24,$3:$3,$4:$4)+100)/100)</f>
        <v>1</v>
      </c>
      <c r="D25" s="2807" t="s">
        <v>3448</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31173</v>
      </c>
      <c r="S25" s="316">
        <f t="shared" si="11"/>
        <v>22032</v>
      </c>
    </row>
    <row r="26" spans="1:45">
      <c r="A26" s="3457" t="s">
        <v>3433</v>
      </c>
      <c r="B26" s="54">
        <f>'数据-基础表'!K15</f>
        <v>5261.87</v>
      </c>
      <c r="C26" s="21">
        <f t="shared" ref="C26:C89" si="12">IF(B26="",1,(LOOKUP(B26,$3:$3,$4:$4)-LOOKUP($B$24,$3:$3,$4:$4)+100)/100)</f>
        <v>1</v>
      </c>
      <c r="D26" s="2807" t="s">
        <v>3448</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-1</v>
      </c>
      <c r="Q26" s="21">
        <f t="shared" ref="Q26:Q89" si="19">(SUMIF($17:$17,P26,$18:$18)-SUMIF($17:$17,$P$24,$18:$18)+100)/100</f>
        <v>0.4</v>
      </c>
      <c r="R26" s="663">
        <f t="shared" ref="R26:R89" si="20">IF(B26="",0,ROUND($R$24*C26*E26*G26*I26*K26*M26*O26*Q26,0))</f>
        <v>17813</v>
      </c>
      <c r="S26" s="316">
        <f t="shared" si="11"/>
        <v>9373</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北京市海淀区远大园六区部分商业用房房地产抵押价值预评估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5"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2" t="s">
        <v>3431</v>
      </c>
      <c r="F1" s="1879" t="s">
        <v>3430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86382.708599999998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44533</v>
      </c>
      <c r="C3" s="354" t="s">
        <v>1768</v>
      </c>
      <c r="D3" s="353">
        <f>IF(D1="",'数据-汇总表'!E3,SUMIF('数据-汇总表'!$C19:$C33,D1,'数据-汇总表'!$E19:$E33))</f>
        <v>19397.46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3" t="s">
        <v>1772</v>
      </c>
      <c r="AC4" s="3675" t="s">
        <v>1773</v>
      </c>
    </row>
    <row r="5" spans="1:29" ht="15">
      <c r="A5" s="358"/>
      <c r="B5" s="359"/>
      <c r="C5" s="3701" t="s">
        <v>3450</v>
      </c>
      <c r="D5" s="3697"/>
      <c r="E5" s="3704" t="str">
        <f>案例!$B$2</f>
        <v>云会里金雅园</v>
      </c>
      <c r="F5" s="3705"/>
      <c r="G5" s="3696" t="str">
        <f>案例!$B$3</f>
        <v>万寿寺甲2号院</v>
      </c>
      <c r="H5" s="3697"/>
      <c r="I5" s="3696" t="str">
        <f>案例!$B$4</f>
        <v>蜂鸟家园</v>
      </c>
      <c r="J5" s="3697"/>
      <c r="K5" s="559"/>
      <c r="L5" s="2711"/>
      <c r="M5" s="2712"/>
      <c r="N5" s="2712"/>
      <c r="O5" s="2712"/>
      <c r="P5" s="3684"/>
      <c r="Q5" s="3685"/>
      <c r="R5" s="3690"/>
      <c r="S5" s="3691"/>
      <c r="T5" s="3690"/>
      <c r="U5" s="3691"/>
      <c r="V5" s="3673"/>
      <c r="W5" s="3673"/>
      <c r="X5" s="1355"/>
      <c r="Y5" s="3690"/>
      <c r="Z5" s="3691"/>
      <c r="AA5" s="3676"/>
      <c r="AB5" s="3673"/>
      <c r="AC5" s="3676"/>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3"/>
      <c r="AC6" s="3677"/>
    </row>
    <row r="7" spans="1:29" s="108" customFormat="1" ht="15.75" thickBot="1">
      <c r="A7" s="362" t="s">
        <v>1679</v>
      </c>
      <c r="B7" s="363"/>
      <c r="C7" s="364">
        <f>'数据-取费表'!B2</f>
        <v>45023</v>
      </c>
      <c r="D7" s="365">
        <v>100</v>
      </c>
      <c r="E7" s="366">
        <f>C7</f>
        <v>45023</v>
      </c>
      <c r="F7" s="367">
        <f>SUMIF(58:58,YEAR(E7)&amp;"-"&amp;MONTH(E7),59:59)</f>
        <v>100</v>
      </c>
      <c r="G7" s="366">
        <f>E7</f>
        <v>45023</v>
      </c>
      <c r="H7" s="365">
        <f>SUMIF(58:58,YEAR(G7)&amp;"-"&amp;MONTH(G7),59:59)</f>
        <v>100</v>
      </c>
      <c r="I7" s="366">
        <f>G7</f>
        <v>45023</v>
      </c>
      <c r="J7" s="365">
        <f>SUMIF(58:58,YEAR(I7)&amp;"-"&amp;MONTH(I7),59:59)</f>
        <v>100</v>
      </c>
      <c r="K7" s="560"/>
      <c r="L7" s="2713"/>
      <c r="M7" s="2714"/>
      <c r="N7" s="2714"/>
      <c r="O7" s="2714"/>
      <c r="P7" s="3698" t="s">
        <v>1680</v>
      </c>
      <c r="Q7" s="3700"/>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704">
        <f>D7/J7</f>
        <v>1</v>
      </c>
    </row>
    <row r="8" spans="1:29" s="108" customFormat="1" ht="15.75" thickBot="1">
      <c r="A8" s="362" t="s">
        <v>1681</v>
      </c>
      <c r="B8" s="363"/>
      <c r="C8" s="368" t="s">
        <v>3438</v>
      </c>
      <c r="D8" s="365">
        <v>100</v>
      </c>
      <c r="E8" s="368" t="s">
        <v>3451</v>
      </c>
      <c r="F8" s="367">
        <f>SUMIF(61:61,E8,62:62)-SUMIF(61:61,C8,62:62)+100</f>
        <v>103</v>
      </c>
      <c r="G8" s="368" t="s">
        <v>3451</v>
      </c>
      <c r="H8" s="365">
        <f>SUMIF(61:61,G8,62:62)-SUMIF(61:61,C8,62:62)+100</f>
        <v>103</v>
      </c>
      <c r="I8" s="368" t="s">
        <v>3451</v>
      </c>
      <c r="J8" s="365">
        <f>SUMIF(61:61,I8,62:62)-SUMIF(61:61,C8,62:62)+100</f>
        <v>103</v>
      </c>
      <c r="K8" s="560"/>
      <c r="L8" s="2713"/>
      <c r="M8" s="2714"/>
      <c r="N8" s="2714"/>
      <c r="O8" s="2714"/>
      <c r="P8" s="3698" t="s">
        <v>1683</v>
      </c>
      <c r="Q8" s="3699"/>
      <c r="R8" s="701" t="s">
        <v>14</v>
      </c>
      <c r="S8" s="702">
        <f t="shared" si="0"/>
        <v>103</v>
      </c>
      <c r="T8" s="701" t="s">
        <v>14</v>
      </c>
      <c r="U8" s="702">
        <f t="shared" si="1"/>
        <v>103</v>
      </c>
      <c r="V8" s="701" t="s">
        <v>14</v>
      </c>
      <c r="W8" s="702">
        <f t="shared" si="2"/>
        <v>103</v>
      </c>
      <c r="X8" s="703"/>
      <c r="Y8" s="3698" t="s">
        <v>1683</v>
      </c>
      <c r="Z8" s="3699"/>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465" t="s">
        <v>3483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74"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t="str">
        <f>E65</f>
        <v>10-20</v>
      </c>
      <c r="D10" s="127">
        <v>100</v>
      </c>
      <c r="E10" s="3431" t="str">
        <f>D65</f>
        <v>20-30</v>
      </c>
      <c r="F10" s="376">
        <f>SUMIF(65:65,E10,66:66)-SUMIF(65:65,C10,66:66)+100</f>
        <v>102</v>
      </c>
      <c r="G10" s="3430" t="str">
        <f>E65</f>
        <v>10-20</v>
      </c>
      <c r="H10" s="127">
        <f>SUMIF(65:65,G10,66:66)-SUMIF(65:65,C10,66:66)+100</f>
        <v>100</v>
      </c>
      <c r="I10" s="3430" t="str">
        <f>D65</f>
        <v>20-30</v>
      </c>
      <c r="J10" s="127">
        <f>SUMIF(65:65,I10,66:66)-SUMIF(65:65,C10,66:66)+100</f>
        <v>102</v>
      </c>
      <c r="K10" s="560"/>
      <c r="L10" s="2715"/>
      <c r="M10" s="2716"/>
      <c r="N10" s="2716"/>
      <c r="O10" s="2716"/>
      <c r="P10" s="3674"/>
      <c r="Q10" s="1343" t="str">
        <f t="shared" si="6"/>
        <v>土地使用年限（年）</v>
      </c>
      <c r="R10" s="701" t="s">
        <v>14</v>
      </c>
      <c r="S10" s="702">
        <f t="shared" si="0"/>
        <v>102</v>
      </c>
      <c r="T10" s="701" t="s">
        <v>14</v>
      </c>
      <c r="U10" s="702">
        <f t="shared" si="1"/>
        <v>100</v>
      </c>
      <c r="V10" s="701" t="s">
        <v>14</v>
      </c>
      <c r="W10" s="702">
        <f t="shared" si="2"/>
        <v>102</v>
      </c>
      <c r="X10" s="703"/>
      <c r="Y10" s="3560"/>
      <c r="Z10" s="52" t="str">
        <f t="shared" si="7"/>
        <v>土地使用年限（年）</v>
      </c>
      <c r="AA10" s="704">
        <f t="shared" si="3"/>
        <v>0.98039215686274506</v>
      </c>
      <c r="AB10" s="704">
        <f t="shared" si="4"/>
        <v>1</v>
      </c>
      <c r="AC10" s="704">
        <f t="shared" si="5"/>
        <v>0.98039215686274506</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3458</v>
      </c>
      <c r="F15" s="394">
        <f>SUMIF(76:76,E16,77:77)-SUMIF(76:76,C16,77:77)+100</f>
        <v>100</v>
      </c>
      <c r="G15" s="393" t="s">
        <v>3458</v>
      </c>
      <c r="H15" s="392">
        <f>SUMIF(76:76,G16,77:77)-SUMIF(76:76,C16,77:77)+100</f>
        <v>100</v>
      </c>
      <c r="I15" s="393" t="s">
        <v>3458</v>
      </c>
      <c r="J15" s="392">
        <f>SUMIF(76:76,I16,77:77)-SUMIF(76:76,C16,77:77)+100</f>
        <v>100</v>
      </c>
      <c r="K15" s="563">
        <v>2</v>
      </c>
      <c r="L15" s="2718"/>
      <c r="M15" s="2712"/>
      <c r="N15" s="2712"/>
      <c r="O15" s="2712"/>
      <c r="P15" s="3664"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t="s">
        <v>3458</v>
      </c>
      <c r="D16" s="399"/>
      <c r="E16" s="398" t="s">
        <v>3458</v>
      </c>
      <c r="F16" s="400"/>
      <c r="G16" s="398" t="s">
        <v>3458</v>
      </c>
      <c r="H16" s="401"/>
      <c r="I16" s="398" t="s">
        <v>3458</v>
      </c>
      <c r="J16" s="399"/>
      <c r="K16" s="564"/>
      <c r="L16" s="2718"/>
      <c r="M16" s="2712"/>
      <c r="N16" s="2712"/>
      <c r="O16" s="2712"/>
      <c r="P16" s="3665"/>
      <c r="Q16" s="1352"/>
      <c r="R16" s="705"/>
      <c r="S16" s="706"/>
      <c r="T16" s="705"/>
      <c r="U16" s="706"/>
      <c r="V16" s="705"/>
      <c r="W16" s="706"/>
      <c r="X16" s="1355"/>
      <c r="Y16" s="3667"/>
      <c r="Z16" s="1356"/>
      <c r="AA16" s="1353">
        <v>1</v>
      </c>
      <c r="AB16" s="1353">
        <v>1</v>
      </c>
      <c r="AC16" s="1353">
        <v>1</v>
      </c>
    </row>
    <row r="17" spans="1:29" ht="15">
      <c r="A17" s="379"/>
      <c r="B17" s="402" t="s">
        <v>1259</v>
      </c>
      <c r="C17" s="1900" t="str">
        <f>估价对象房地状况!C6</f>
        <v>较好</v>
      </c>
      <c r="D17" s="401">
        <v>100</v>
      </c>
      <c r="E17" s="403" t="s">
        <v>3458</v>
      </c>
      <c r="F17" s="404">
        <f>SUMIF(78:78,E18,79:79)-SUMIF(78:78,C18,79:79)+100</f>
        <v>100</v>
      </c>
      <c r="G17" s="403" t="s">
        <v>3458</v>
      </c>
      <c r="H17" s="406">
        <f>SUMIF(78:78,G18,79:79)-SUMIF(78:78,C18,79:79)+100</f>
        <v>100</v>
      </c>
      <c r="I17" s="403" t="s">
        <v>3458</v>
      </c>
      <c r="J17" s="406">
        <f>SUMIF(78:78,I18,79:79)-SUMIF(78:78,C18,79:79)+100</f>
        <v>100</v>
      </c>
      <c r="K17" s="563">
        <v>2</v>
      </c>
      <c r="L17" s="2718"/>
      <c r="M17" s="2712"/>
      <c r="N17" s="2712"/>
      <c r="O17" s="2712"/>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t="s">
        <v>3458</v>
      </c>
      <c r="D18" s="401"/>
      <c r="E18" s="1903" t="s">
        <v>3458</v>
      </c>
      <c r="F18" s="404"/>
      <c r="G18" s="1903" t="s">
        <v>3458</v>
      </c>
      <c r="H18" s="399"/>
      <c r="I18" s="1903" t="s">
        <v>3458</v>
      </c>
      <c r="J18" s="399"/>
      <c r="K18" s="564"/>
      <c r="L18" s="2718"/>
      <c r="M18" s="2712"/>
      <c r="N18" s="2712"/>
      <c r="O18" s="2712"/>
      <c r="P18" s="3665"/>
      <c r="Q18" s="1352"/>
      <c r="R18" s="705"/>
      <c r="S18" s="706"/>
      <c r="T18" s="705"/>
      <c r="U18" s="706"/>
      <c r="V18" s="705"/>
      <c r="W18" s="706"/>
      <c r="X18" s="1355"/>
      <c r="Y18" s="3667"/>
      <c r="Z18" s="1356"/>
      <c r="AA18" s="1353">
        <v>1</v>
      </c>
      <c r="AB18" s="1353">
        <v>1</v>
      </c>
      <c r="AC18" s="1353">
        <v>1</v>
      </c>
    </row>
    <row r="19" spans="1:29" ht="15">
      <c r="A19" s="379"/>
      <c r="B19" s="402" t="s">
        <v>1778</v>
      </c>
      <c r="C19" s="1900" t="str">
        <f>估价对象房地状况!C7</f>
        <v>较好</v>
      </c>
      <c r="D19" s="406">
        <v>100</v>
      </c>
      <c r="E19" s="408" t="s">
        <v>3458</v>
      </c>
      <c r="F19" s="409">
        <f>SUMIF(80:80,E20,81:81)-SUMIF(80:80,C20,81:81)+100</f>
        <v>100</v>
      </c>
      <c r="G19" s="408" t="s">
        <v>3458</v>
      </c>
      <c r="H19" s="401">
        <f>SUMIF(80:80,G20,81:81)-SUMIF(80:80,C20,81:81)+100</f>
        <v>100</v>
      </c>
      <c r="I19" s="408" t="s">
        <v>3458</v>
      </c>
      <c r="J19" s="401">
        <f>SUMIF(80:80,I20,81:81)-SUMIF(80:80,C20,81:81)+100</f>
        <v>100</v>
      </c>
      <c r="K19" s="563">
        <v>2</v>
      </c>
      <c r="L19" s="2718"/>
      <c r="M19" s="2712"/>
      <c r="N19" s="2712"/>
      <c r="O19" s="2712"/>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3458</v>
      </c>
      <c r="D20" s="399"/>
      <c r="E20" s="1898" t="s">
        <v>3458</v>
      </c>
      <c r="F20" s="400"/>
      <c r="G20" s="1898" t="s">
        <v>3458</v>
      </c>
      <c r="H20" s="399"/>
      <c r="I20" s="1898" t="s">
        <v>3458</v>
      </c>
      <c r="J20" s="399"/>
      <c r="K20" s="564"/>
      <c r="L20" s="2718"/>
      <c r="M20" s="2712"/>
      <c r="N20" s="2712"/>
      <c r="O20" s="2712"/>
      <c r="P20" s="3665"/>
      <c r="Q20" s="1352"/>
      <c r="R20" s="705"/>
      <c r="S20" s="706"/>
      <c r="T20" s="705"/>
      <c r="U20" s="706"/>
      <c r="V20" s="705"/>
      <c r="W20" s="706"/>
      <c r="X20" s="1355"/>
      <c r="Y20" s="3667"/>
      <c r="Z20" s="1356"/>
      <c r="AA20" s="1353">
        <v>1</v>
      </c>
      <c r="AB20" s="1353">
        <v>1</v>
      </c>
      <c r="AC20" s="1353">
        <v>1</v>
      </c>
    </row>
    <row r="21" spans="1:29" ht="15">
      <c r="A21" s="379"/>
      <c r="B21" s="1131" t="s">
        <v>1779</v>
      </c>
      <c r="C21" s="1900" t="str">
        <f>估价对象房地状况!C8</f>
        <v>七通</v>
      </c>
      <c r="D21" s="406">
        <v>100</v>
      </c>
      <c r="E21" s="408" t="s">
        <v>3489</v>
      </c>
      <c r="F21" s="409">
        <f>SUMIF(82:82,E22,83:83)-SUMIF(82:82,C22,83:83)+100</f>
        <v>100</v>
      </c>
      <c r="G21" s="408" t="s">
        <v>3489</v>
      </c>
      <c r="H21" s="401">
        <f>SUMIF(82:82,G22,83:83)-SUMIF(82:82,C22,83:83)+100</f>
        <v>100</v>
      </c>
      <c r="I21" s="408" t="s">
        <v>3489</v>
      </c>
      <c r="J21" s="401">
        <f>SUMIF(82:82,I22,83:83)-SUMIF(82:82,C22,83:83)+100</f>
        <v>100</v>
      </c>
      <c r="K21" s="563">
        <v>1</v>
      </c>
      <c r="L21" s="2718"/>
      <c r="M21" s="2712"/>
      <c r="N21" s="2712"/>
      <c r="O21" s="2712"/>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t="s">
        <v>3489</v>
      </c>
      <c r="D22" s="399"/>
      <c r="E22" s="398" t="s">
        <v>3489</v>
      </c>
      <c r="F22" s="400"/>
      <c r="G22" s="398" t="s">
        <v>3489</v>
      </c>
      <c r="H22" s="399"/>
      <c r="I22" s="398" t="s">
        <v>3489</v>
      </c>
      <c r="J22" s="399"/>
      <c r="K22" s="1130"/>
      <c r="L22" s="2718"/>
      <c r="M22" s="2712"/>
      <c r="N22" s="2712"/>
      <c r="O22" s="2712"/>
      <c r="P22" s="3665"/>
      <c r="Q22" s="1352"/>
      <c r="R22" s="705"/>
      <c r="S22" s="706"/>
      <c r="T22" s="705"/>
      <c r="U22" s="706"/>
      <c r="V22" s="705"/>
      <c r="W22" s="706"/>
      <c r="X22" s="1355"/>
      <c r="Y22" s="3667"/>
      <c r="Z22" s="1356"/>
      <c r="AA22" s="1353">
        <v>1</v>
      </c>
      <c r="AB22" s="1353">
        <v>1</v>
      </c>
      <c r="AC22" s="1353">
        <v>1</v>
      </c>
    </row>
    <row r="23" spans="1:29" ht="15">
      <c r="A23" s="379"/>
      <c r="B23" s="402" t="s">
        <v>1261</v>
      </c>
      <c r="C23" s="1955" t="str">
        <f>估价对象房地状况!C9</f>
        <v>较好</v>
      </c>
      <c r="D23" s="401">
        <v>100</v>
      </c>
      <c r="E23" s="403" t="s">
        <v>3458</v>
      </c>
      <c r="F23" s="404">
        <f>SUMIF(84:84,E24,85:85)-SUMIF(84:84,C24,85:85)+100</f>
        <v>100</v>
      </c>
      <c r="G23" s="403" t="s">
        <v>3458</v>
      </c>
      <c r="H23" s="401">
        <f>SUMIF(84:84,G24,85:85)-SUMIF(84:84,C24,85:85)+100</f>
        <v>100</v>
      </c>
      <c r="I23" s="403" t="s">
        <v>3458</v>
      </c>
      <c r="J23" s="401">
        <f>SUMIF(84:84,I24,85:85)-SUMIF(84:84,C24,85:85)+100</f>
        <v>100</v>
      </c>
      <c r="K23" s="563">
        <v>2</v>
      </c>
      <c r="L23" s="2718"/>
      <c r="M23" s="2712"/>
      <c r="N23" s="2712"/>
      <c r="O23" s="2712"/>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t="s">
        <v>3458</v>
      </c>
      <c r="D24" s="399"/>
      <c r="E24" s="1898" t="s">
        <v>3458</v>
      </c>
      <c r="F24" s="400"/>
      <c r="G24" s="1898" t="s">
        <v>3458</v>
      </c>
      <c r="H24" s="399"/>
      <c r="I24" s="1898" t="s">
        <v>3458</v>
      </c>
      <c r="J24" s="399"/>
      <c r="K24" s="564"/>
      <c r="L24" s="2718"/>
      <c r="M24" s="2712"/>
      <c r="N24" s="2712"/>
      <c r="O24" s="2712"/>
      <c r="P24" s="3665"/>
      <c r="Q24" s="1352"/>
      <c r="R24" s="705"/>
      <c r="S24" s="706"/>
      <c r="T24" s="705"/>
      <c r="U24" s="706"/>
      <c r="V24" s="705"/>
      <c r="W24" s="706"/>
      <c r="X24" s="1355"/>
      <c r="Y24" s="3667"/>
      <c r="Z24" s="1356"/>
      <c r="AA24" s="1353">
        <v>1</v>
      </c>
      <c r="AB24" s="1353">
        <v>1</v>
      </c>
      <c r="AC24" s="1353">
        <v>1</v>
      </c>
    </row>
    <row r="25" spans="1:29" ht="15">
      <c r="A25" s="379"/>
      <c r="B25" s="375" t="s">
        <v>1780</v>
      </c>
      <c r="C25" s="565" t="s">
        <v>3455</v>
      </c>
      <c r="D25" s="386">
        <v>100</v>
      </c>
      <c r="E25" s="565" t="s">
        <v>3455</v>
      </c>
      <c r="F25" s="412">
        <f>SUMIF(86:86,E25,87:87)-SUMIF(86:86,C25,87:87)+100</f>
        <v>100</v>
      </c>
      <c r="G25" s="565" t="s">
        <v>3455</v>
      </c>
      <c r="H25" s="386">
        <f>SUMIF(86:86,G25,87:87)-SUMIF(86:86,C25,87:87)+100</f>
        <v>100</v>
      </c>
      <c r="I25" s="565" t="s">
        <v>3455</v>
      </c>
      <c r="J25" s="386">
        <f>SUMIF(86:86,I25,87:87)-SUMIF(86:86,C25,87:87)+100</f>
        <v>100</v>
      </c>
      <c r="K25" s="561">
        <v>2</v>
      </c>
      <c r="L25" s="2718"/>
      <c r="M25" s="2712"/>
      <c r="N25" s="2712"/>
      <c r="O25" s="2712"/>
      <c r="P25" s="3665"/>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467" t="s">
        <v>3459</v>
      </c>
      <c r="D26" s="386">
        <v>100</v>
      </c>
      <c r="E26" s="3467" t="s">
        <v>3459</v>
      </c>
      <c r="F26" s="412">
        <f>SUMIF(88:88,E26,89:89)-SUMIF(88:88,C26,89:89)+100</f>
        <v>100</v>
      </c>
      <c r="G26" s="3467" t="s">
        <v>3459</v>
      </c>
      <c r="H26" s="386">
        <f>SUMIF(88:88,G26,89:89)-SUMIF(88:88,C26,89:89)+100</f>
        <v>100</v>
      </c>
      <c r="I26" s="3467" t="s">
        <v>3459</v>
      </c>
      <c r="J26" s="386">
        <f>SUMIF(88:88,I26,89:89)-SUMIF(88:88,C26,89:89)+100</f>
        <v>100</v>
      </c>
      <c r="K26" s="562"/>
      <c r="L26" s="2718"/>
      <c r="M26" s="2712"/>
      <c r="N26" s="2712"/>
      <c r="O26" s="2712"/>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t="s">
        <v>3460</v>
      </c>
      <c r="D27" s="413">
        <v>100</v>
      </c>
      <c r="E27" s="1956" t="s">
        <v>3464</v>
      </c>
      <c r="F27" s="415">
        <f>SUMIF(90:90,E27,91:91)-SUMIF(90:90,C27,91:91)+100</f>
        <v>102</v>
      </c>
      <c r="G27" s="1956" t="s">
        <v>3464</v>
      </c>
      <c r="H27" s="413">
        <f>SUMIF(90:90,G27,91:91)-SUMIF(90:90,C27,91:91)+100</f>
        <v>102</v>
      </c>
      <c r="I27" s="1956" t="s">
        <v>3464</v>
      </c>
      <c r="J27" s="413">
        <f>SUMIF(90:90,I27,91:91)-SUMIF(90:90,C27,91:91)+100</f>
        <v>102</v>
      </c>
      <c r="K27" s="561">
        <v>2</v>
      </c>
      <c r="L27" s="2713"/>
      <c r="M27" s="2714"/>
      <c r="N27" s="2714"/>
      <c r="O27" s="2714"/>
      <c r="P27" s="3665"/>
      <c r="Q27" s="1343" t="str">
        <f t="shared" si="11"/>
        <v>人流量</v>
      </c>
      <c r="R27" s="701" t="s">
        <v>14</v>
      </c>
      <c r="S27" s="702">
        <f>F27</f>
        <v>102</v>
      </c>
      <c r="T27" s="701" t="s">
        <v>14</v>
      </c>
      <c r="U27" s="702">
        <f>H27</f>
        <v>102</v>
      </c>
      <c r="V27" s="701" t="s">
        <v>14</v>
      </c>
      <c r="W27" s="702">
        <f>J27</f>
        <v>102</v>
      </c>
      <c r="X27" s="703"/>
      <c r="Y27" s="3667"/>
      <c r="Z27" s="52" t="str">
        <f>Q27</f>
        <v>人流量</v>
      </c>
      <c r="AA27" s="1353">
        <f>D27/F27</f>
        <v>0.98039215686274506</v>
      </c>
      <c r="AB27" s="1353">
        <f>D27/H27</f>
        <v>0.98039215686274506</v>
      </c>
      <c r="AC27" s="1353">
        <f>D27/J27</f>
        <v>0.98039215686274506</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t="s">
        <v>3469</v>
      </c>
      <c r="D32" s="418">
        <v>100</v>
      </c>
      <c r="E32" s="1910" t="s">
        <v>3469</v>
      </c>
      <c r="F32" s="412">
        <f>SUMIF(100:100,E32,101:101)-SUMIF(100:100,C32,101:101)+100</f>
        <v>100</v>
      </c>
      <c r="G32" s="1910" t="s">
        <v>3469</v>
      </c>
      <c r="H32" s="386">
        <f>SUMIF(100:100,G32,101:101)-SUMIF(100:100,C32,101:101)+100</f>
        <v>100</v>
      </c>
      <c r="I32" s="1910" t="s">
        <v>3469</v>
      </c>
      <c r="J32" s="418">
        <f>SUMIF(100:100,I32,101:101)-SUMIF(100:100,C32,101:101)+100</f>
        <v>100</v>
      </c>
      <c r="K32" s="561">
        <v>2</v>
      </c>
      <c r="L32" s="2718"/>
      <c r="M32" s="2712"/>
      <c r="N32" s="2712"/>
      <c r="O32" s="2712"/>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7067.8</v>
      </c>
      <c r="D33" s="127">
        <v>100</v>
      </c>
      <c r="E33" s="381">
        <f>案例!D2</f>
        <v>143.25</v>
      </c>
      <c r="F33" s="376">
        <f>LOOKUP(E33,103:103,104:104)-LOOKUP(C33,103:103,104:104)+100</f>
        <v>112</v>
      </c>
      <c r="G33" s="380">
        <f>案例!D3</f>
        <v>256.45</v>
      </c>
      <c r="H33" s="127">
        <f>LOOKUP(G33,103:103,104:104)-LOOKUP(C33,103:103,104:104)+100</f>
        <v>112</v>
      </c>
      <c r="I33" s="380">
        <f>案例!D4</f>
        <v>45.5</v>
      </c>
      <c r="J33" s="127">
        <f>LOOKUP(I33,103:103,104:104)-LOOKUP(C33,103:103,104:104)+100</f>
        <v>114</v>
      </c>
      <c r="K33" s="562"/>
      <c r="L33" s="2717"/>
      <c r="M33" s="2719"/>
      <c r="N33" s="2719"/>
      <c r="O33" s="2719"/>
      <c r="P33" s="3669"/>
      <c r="Q33" s="707" t="str">
        <f t="shared" si="11"/>
        <v>项目建筑规模</v>
      </c>
      <c r="R33" s="708" t="s">
        <v>14</v>
      </c>
      <c r="S33" s="709">
        <f t="shared" si="12"/>
        <v>112</v>
      </c>
      <c r="T33" s="708" t="s">
        <v>14</v>
      </c>
      <c r="U33" s="709">
        <f t="shared" si="13"/>
        <v>112</v>
      </c>
      <c r="V33" s="708" t="s">
        <v>14</v>
      </c>
      <c r="W33" s="709">
        <f t="shared" si="14"/>
        <v>114</v>
      </c>
      <c r="X33" s="710"/>
      <c r="Y33" s="3671"/>
      <c r="Z33" s="711" t="str">
        <f t="shared" si="15"/>
        <v>项目建筑规模</v>
      </c>
      <c r="AA33" s="1353">
        <f t="shared" si="3"/>
        <v>0.8928571428571429</v>
      </c>
      <c r="AB33" s="1353">
        <f t="shared" si="4"/>
        <v>0.8928571428571429</v>
      </c>
      <c r="AC33" s="1353">
        <f t="shared" si="5"/>
        <v>0.8771929824561403</v>
      </c>
    </row>
    <row r="34" spans="1:29" ht="15">
      <c r="A34" s="423"/>
      <c r="B34" s="375" t="s">
        <v>1698</v>
      </c>
      <c r="C34" s="1912" t="s">
        <v>3418</v>
      </c>
      <c r="D34" s="386">
        <v>100</v>
      </c>
      <c r="E34" s="1912" t="s">
        <v>3418</v>
      </c>
      <c r="F34" s="412">
        <f>SUMIF(105:105,E34,106:106)-SUMIF(105:105,C34,106:106)+100</f>
        <v>100</v>
      </c>
      <c r="G34" s="1912" t="s">
        <v>3418</v>
      </c>
      <c r="H34" s="386">
        <f>SUMIF(105:105,G34,106:106)-SUMIF(105:105,C34,106:106)+100</f>
        <v>100</v>
      </c>
      <c r="I34" s="1912" t="s">
        <v>3418</v>
      </c>
      <c r="J34" s="386">
        <f>SUMIF(105:105,I34,106:106)-SUMIF(105:105,C34,106:106)+100</f>
        <v>100</v>
      </c>
      <c r="K34" s="561">
        <v>2</v>
      </c>
      <c r="L34" s="2718"/>
      <c r="M34" s="2712"/>
      <c r="N34" s="2712"/>
      <c r="O34" s="2712"/>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f>'数据-取费表'!N6</f>
        <v>0.71</v>
      </c>
      <c r="D36" s="386">
        <v>100</v>
      </c>
      <c r="E36" s="425">
        <v>0.75</v>
      </c>
      <c r="F36" s="412">
        <f>LOOKUP(E36,110:110,111:111)-LOOKUP(C36,110:110,111:111)+100</f>
        <v>100</v>
      </c>
      <c r="G36" s="425">
        <f>E36</f>
        <v>0.75</v>
      </c>
      <c r="H36" s="412">
        <f>LOOKUP(G36,110:110,111:111)-LOOKUP(C36,110:110,111:111)+100</f>
        <v>100</v>
      </c>
      <c r="I36" s="425">
        <f>E36</f>
        <v>0.75</v>
      </c>
      <c r="J36" s="386">
        <f>LOOKUP(I36,110:110,111:111)-LOOKUP(C36,110:110,111:111)+100</f>
        <v>100</v>
      </c>
      <c r="K36" s="561">
        <v>1</v>
      </c>
      <c r="L36" s="2718"/>
      <c r="M36" s="2712"/>
      <c r="N36" s="2712"/>
      <c r="O36" s="2712"/>
      <c r="P36" s="3669"/>
      <c r="Q36" s="1352" t="str">
        <f t="shared" si="11"/>
        <v>成新度</v>
      </c>
      <c r="R36" s="705" t="s">
        <v>14</v>
      </c>
      <c r="S36" s="706">
        <f t="shared" si="12"/>
        <v>100</v>
      </c>
      <c r="T36" s="705" t="s">
        <v>14</v>
      </c>
      <c r="U36" s="706">
        <f t="shared" si="13"/>
        <v>100</v>
      </c>
      <c r="V36" s="705" t="s">
        <v>14</v>
      </c>
      <c r="W36" s="706">
        <f t="shared" si="14"/>
        <v>100</v>
      </c>
      <c r="X36" s="1355"/>
      <c r="Y36" s="3671"/>
      <c r="Z36" s="1356" t="str">
        <f t="shared" si="15"/>
        <v>成新度</v>
      </c>
      <c r="AA36" s="1353">
        <f t="shared" si="3"/>
        <v>1</v>
      </c>
      <c r="AB36" s="1353">
        <f t="shared" si="4"/>
        <v>1</v>
      </c>
      <c r="AC36" s="1353">
        <f t="shared" si="5"/>
        <v>1</v>
      </c>
    </row>
    <row r="37" spans="1:29" s="108" customFormat="1" ht="15">
      <c r="A37" s="424"/>
      <c r="B37" s="375" t="s">
        <v>1787</v>
      </c>
      <c r="C37" s="1906" t="s">
        <v>3490</v>
      </c>
      <c r="D37" s="127">
        <v>100</v>
      </c>
      <c r="E37" s="1906" t="s">
        <v>3490</v>
      </c>
      <c r="F37" s="412">
        <f>SUMIF(112:112,E37,113:113)-SUMIF(112:112,C37,113:113)+100</f>
        <v>100</v>
      </c>
      <c r="G37" s="1906" t="s">
        <v>3490</v>
      </c>
      <c r="H37" s="386">
        <f>SUMIF(112:112,G37,113:113)-SUMIF(112:112,C37,113:113)+100</f>
        <v>100</v>
      </c>
      <c r="I37" s="1906" t="s">
        <v>3490</v>
      </c>
      <c r="J37" s="386">
        <f>SUMIF(112:112,I37,113:113)-SUMIF(112:112,C37,113:113)+100</f>
        <v>100</v>
      </c>
      <c r="K37" s="561">
        <v>1</v>
      </c>
      <c r="L37" s="2713"/>
      <c r="M37" s="2714"/>
      <c r="N37" s="2714"/>
      <c r="O37" s="2714"/>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t="s">
        <v>3473</v>
      </c>
      <c r="D38" s="386">
        <v>100</v>
      </c>
      <c r="E38" s="1906" t="s">
        <v>3473</v>
      </c>
      <c r="F38" s="412">
        <f>SUMIF(114:114,E38,115:115)-SUMIF(114:114,C38,115:115)+100</f>
        <v>100</v>
      </c>
      <c r="G38" s="1906" t="s">
        <v>3473</v>
      </c>
      <c r="H38" s="386">
        <f>SUMIF(114:114,G38,115:115)-SUMIF(114:114,C38,115:115)+100</f>
        <v>100</v>
      </c>
      <c r="I38" s="1906" t="s">
        <v>3473</v>
      </c>
      <c r="J38" s="386">
        <f>SUMIF(114:114,I38,115:115)-SUMIF(114:114,C38,115:115)+100</f>
        <v>100</v>
      </c>
      <c r="K38" s="561">
        <v>5</v>
      </c>
      <c r="L38" s="2718"/>
      <c r="M38" s="2712"/>
      <c r="N38" s="2712"/>
      <c r="O38" s="2712"/>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t="s">
        <v>3475</v>
      </c>
      <c r="D39" s="386">
        <v>100</v>
      </c>
      <c r="E39" s="1906" t="s">
        <v>3475</v>
      </c>
      <c r="F39" s="412">
        <f>SUMIF(116:116,E39,117:117)-SUMIF(116:116,C39,117:117)+100</f>
        <v>100</v>
      </c>
      <c r="G39" s="1906" t="s">
        <v>3475</v>
      </c>
      <c r="H39" s="386">
        <f>SUMIF(116:116,G39,117:117)-SUMIF(116:116,C39,117:117)+100</f>
        <v>100</v>
      </c>
      <c r="I39" s="1906" t="s">
        <v>3475</v>
      </c>
      <c r="J39" s="386">
        <f>SUMIF(116:116,I39,117:117)-SUMIF(116:116,C39,117:117)+100</f>
        <v>100</v>
      </c>
      <c r="K39" s="561">
        <v>5</v>
      </c>
      <c r="L39" s="2718"/>
      <c r="M39" s="2712"/>
      <c r="N39" s="2712"/>
      <c r="O39" s="2712"/>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t="s">
        <v>3477</v>
      </c>
      <c r="D41" s="386">
        <v>100</v>
      </c>
      <c r="E41" s="565" t="s">
        <v>3477</v>
      </c>
      <c r="F41" s="412">
        <f>SUMIF(120:120,E41,121:121)-SUMIF(120:120,C41,121:121)+100</f>
        <v>100</v>
      </c>
      <c r="G41" s="565" t="s">
        <v>3477</v>
      </c>
      <c r="H41" s="386">
        <f>SUMIF(120:120,G41,121:121)-SUMIF(120:120,C41,121:121)+100</f>
        <v>100</v>
      </c>
      <c r="I41" s="565" t="s">
        <v>3477</v>
      </c>
      <c r="J41" s="386">
        <f>SUMIF(120:120,I41,121:121)-SUMIF(120:120,C41,121:121)+100</f>
        <v>100</v>
      </c>
      <c r="K41" s="561">
        <v>2</v>
      </c>
      <c r="L41" s="2717"/>
      <c r="M41" s="2719"/>
      <c r="N41" s="2719"/>
      <c r="O41" s="2719"/>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t="s">
        <v>3448</v>
      </c>
      <c r="D42" s="386">
        <v>100</v>
      </c>
      <c r="E42" s="1906" t="s">
        <v>3448</v>
      </c>
      <c r="F42" s="412">
        <f>SUMIF(122:122,E42,123:123)-SUMIF(122:122,C42,123:123)+100</f>
        <v>100</v>
      </c>
      <c r="G42" s="1906" t="s">
        <v>3448</v>
      </c>
      <c r="H42" s="386">
        <f>SUMIF(122:122,G42,123:123)-SUMIF(122:122,C42,123:123)+100</f>
        <v>100</v>
      </c>
      <c r="I42" s="1906" t="s">
        <v>3448</v>
      </c>
      <c r="J42" s="386">
        <f>SUMIF(122:122,I42,123:123)-SUMIF(122:122,C42,123:123)+100</f>
        <v>100</v>
      </c>
      <c r="K42" s="561">
        <v>2</v>
      </c>
      <c r="L42" s="2718"/>
      <c r="M42" s="2712"/>
      <c r="N42" s="2712"/>
      <c r="O42" s="2712"/>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t="s">
        <v>3458</v>
      </c>
      <c r="D43" s="386">
        <v>100</v>
      </c>
      <c r="E43" s="1906" t="s">
        <v>3458</v>
      </c>
      <c r="F43" s="412">
        <f>SUMIF(124:124,E43,125:125)-SUMIF(124:124,C43,125:125)+100</f>
        <v>100</v>
      </c>
      <c r="G43" s="1906" t="s">
        <v>3458</v>
      </c>
      <c r="H43" s="386">
        <f>SUMIF(124:124,G43,125:125)-SUMIF(124:124,C43,125:125)+100</f>
        <v>100</v>
      </c>
      <c r="I43" s="1906" t="s">
        <v>3458</v>
      </c>
      <c r="J43" s="386">
        <f>SUMIF(124:124,I43,125:125)-SUMIF(124:124,C43,125:125)+100</f>
        <v>100</v>
      </c>
      <c r="K43" s="561">
        <v>2</v>
      </c>
      <c r="L43" s="2718"/>
      <c r="M43" s="2712"/>
      <c r="N43" s="2712"/>
      <c r="O43" s="2712"/>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f>案例!E2</f>
        <v>50000</v>
      </c>
      <c r="F47" s="1157"/>
      <c r="G47" s="1156">
        <f>案例!E3</f>
        <v>54200</v>
      </c>
      <c r="H47" s="1159"/>
      <c r="I47" s="1156">
        <f>案例!E4</f>
        <v>56044</v>
      </c>
      <c r="J47" s="1159"/>
      <c r="K47" s="714"/>
      <c r="L47" s="2720"/>
      <c r="M47" s="2721"/>
      <c r="N47" s="2712"/>
      <c r="O47" s="2721"/>
      <c r="P47" s="3659" t="str">
        <f>A47</f>
        <v>成交单价（元/平方米）</v>
      </c>
      <c r="Q47" s="3659"/>
      <c r="R47" s="3673">
        <f>E47</f>
        <v>50000</v>
      </c>
      <c r="S47" s="3673"/>
      <c r="T47" s="3673">
        <f>G47</f>
        <v>54200</v>
      </c>
      <c r="U47" s="3673"/>
      <c r="V47" s="3673">
        <f>I47</f>
        <v>56044</v>
      </c>
      <c r="W47" s="3673"/>
      <c r="X47" s="690"/>
      <c r="Y47" s="712"/>
      <c r="Z47" s="690"/>
      <c r="AA47" s="690"/>
      <c r="AB47" s="690"/>
      <c r="AC47" s="690"/>
    </row>
    <row r="48" spans="1:29" ht="15.75" thickBot="1">
      <c r="A48" s="437" t="s">
        <v>1793</v>
      </c>
      <c r="B48" s="438"/>
      <c r="C48" s="1160">
        <f>R49</f>
        <v>44533</v>
      </c>
      <c r="D48" s="2317" t="s">
        <v>2137</v>
      </c>
      <c r="E48" s="1161">
        <f>R48</f>
        <v>41660</v>
      </c>
      <c r="F48" s="2318"/>
      <c r="G48" s="1160">
        <f>T48</f>
        <v>46062</v>
      </c>
      <c r="H48" s="2318"/>
      <c r="I48" s="1161">
        <f>V48</f>
        <v>45876</v>
      </c>
      <c r="J48" s="2318"/>
      <c r="K48" s="2320">
        <f>F48+H48+J48</f>
        <v>0</v>
      </c>
      <c r="L48" s="2720"/>
      <c r="M48" s="2721"/>
      <c r="N48" s="2712"/>
      <c r="O48" s="2721"/>
      <c r="P48" s="3659" t="str">
        <f>A48</f>
        <v>比较价值（元/平方米）</v>
      </c>
      <c r="Q48" s="3659"/>
      <c r="R48" s="3660">
        <f>IF(F1="售价",ROUND(PRODUCT(R47,AA7:AA46),0),ROUND(PRODUCT(R47,AA7:AA46),1))</f>
        <v>41660</v>
      </c>
      <c r="S48" s="3660"/>
      <c r="T48" s="3660">
        <f>IF(F1="售价",ROUND(PRODUCT(T47,AB7:AB46),0),ROUND(PRODUCT(T47,AB7:AB46),1))</f>
        <v>46062</v>
      </c>
      <c r="U48" s="3660"/>
      <c r="V48" s="3660">
        <f>IF(F1="售价",ROUND(PRODUCT(V47,AC7:AC46),0),ROUND(PRODUCT(V47,AC7:AC46),1))</f>
        <v>45876</v>
      </c>
      <c r="W48" s="3660"/>
      <c r="X48" s="690"/>
      <c r="Y48" s="690"/>
      <c r="Z48" s="690"/>
      <c r="AA48" s="690"/>
      <c r="AB48" s="690"/>
      <c r="AC48" s="690"/>
    </row>
    <row r="49" spans="1:29" ht="15.75" thickBot="1">
      <c r="A49" s="441" t="s">
        <v>1794</v>
      </c>
      <c r="B49" s="442"/>
      <c r="C49" s="1163">
        <f>R49</f>
        <v>44533</v>
      </c>
      <c r="D49" s="1163"/>
      <c r="E49" s="1163"/>
      <c r="F49" s="1163"/>
      <c r="G49" s="1163"/>
      <c r="H49" s="1163"/>
      <c r="I49" s="1163"/>
      <c r="J49" s="1163"/>
      <c r="K49" s="715"/>
      <c r="L49" s="2720"/>
      <c r="M49" s="2721"/>
      <c r="N49" s="2712"/>
      <c r="O49" s="2721"/>
      <c r="P49" s="3661" t="str">
        <f>A49</f>
        <v>估价对象XX用房的比较价值（楼面单价，元/平方米）</v>
      </c>
      <c r="Q49" s="3662"/>
      <c r="R49" s="3663">
        <f>IF(F1="售价",ROUND(IF(D48="简单平均",AVERAGE(R48:V48),R48*F48+T48*H48+V48*J48),0),ROUND(IF(D48="简单平均",AVERAGE(R48:V48),R48*F48+T48*H48+V48*J48),1))</f>
        <v>44533</v>
      </c>
      <c r="S49" s="3663"/>
      <c r="T49" s="3663"/>
      <c r="U49" s="3663"/>
      <c r="V49" s="3663"/>
      <c r="W49" s="36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0.20019203072491609</v>
      </c>
      <c r="F52" s="449" t="str">
        <f>IF(OR(E52&gt;=0.3,E52&lt;=-0.3),"超过30%","")</f>
        <v/>
      </c>
      <c r="G52" s="448">
        <f>IF(G47&lt;G48,G48/G47-1,G47/G48-1)</f>
        <v>0.17667491641700317</v>
      </c>
      <c r="H52" s="449" t="str">
        <f>IF(OR(G52&gt;=0.3,G52&lt;=-0.3),"超过30%","")</f>
        <v/>
      </c>
      <c r="I52" s="448">
        <f>IF(I47&lt;I48,I48/I47-1,I47/I48-1)</f>
        <v>0.2216409451565089</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0.10566490638502168</v>
      </c>
      <c r="F53" s="449" t="str">
        <f>IF(OR(E53&gt;=0.2,E53&lt;=-0.2),"超过20%","")</f>
        <v/>
      </c>
      <c r="G53" s="448">
        <f>IF(G48&lt;I48,I48/G48-1,G48/I48-1)</f>
        <v>4.0544075333508456E-3</v>
      </c>
      <c r="H53" s="449" t="str">
        <f>IF(OR(G53&gt;=0.2,G53&lt;=-0.2),"超过20%","")</f>
        <v/>
      </c>
      <c r="I53" s="448">
        <f>IF(I48&lt;E48,E48/I48-1,I48/E48-1)</f>
        <v>0.10120019203072483</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8.4000000000000075E-2</v>
      </c>
      <c r="F54" s="449" t="str">
        <f>IF(OR(E54&gt;=0.3,E54&lt;=-0.3),"超过30%","")</f>
        <v/>
      </c>
      <c r="G54" s="448">
        <f>IF(G47&lt;I47,I47/G47-1,G47/I47-1)</f>
        <v>3.4022140221402264E-2</v>
      </c>
      <c r="H54" s="449" t="str">
        <f>IF(OR(G54&gt;=0.3,G54&lt;=-0.3),"超过30%","")</f>
        <v/>
      </c>
      <c r="I54" s="448">
        <f>IF(I47&lt;E47,E47/I47-1,I47/E47-1)</f>
        <v>0.1208800000000001</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v>100</v>
      </c>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3460" t="s">
        <v>3452</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t="s">
        <v>3486</v>
      </c>
      <c r="D65" s="532" t="s">
        <v>3487</v>
      </c>
      <c r="E65" s="3466" t="s">
        <v>3488</v>
      </c>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C66-2</f>
        <v>98</v>
      </c>
      <c r="E66" s="485">
        <f>D66-2</f>
        <v>96</v>
      </c>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461" t="s">
        <v>3453</v>
      </c>
      <c r="D86" s="3461" t="s">
        <v>3454</v>
      </c>
      <c r="E86" s="3461" t="s">
        <v>3456</v>
      </c>
      <c r="F86" s="3461" t="s">
        <v>3457</v>
      </c>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61" t="s">
        <v>3459</v>
      </c>
      <c r="D88" s="3461" t="s">
        <v>3461</v>
      </c>
      <c r="E88" s="3461" t="s">
        <v>3462</v>
      </c>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D89-2</f>
        <v>96</v>
      </c>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3461" t="s">
        <v>3463</v>
      </c>
      <c r="D90" s="3461" t="s">
        <v>3465</v>
      </c>
      <c r="E90" s="3461" t="s">
        <v>3466</v>
      </c>
      <c r="F90" s="3461" t="s">
        <v>3467</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3462" t="s">
        <v>3468</v>
      </c>
      <c r="E92" s="503">
        <v>2</v>
      </c>
      <c r="F92" s="503">
        <v>-1</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30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63" t="s">
        <v>3470</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1000(含)-3000</v>
      </c>
      <c r="H102" s="527" t="str">
        <f t="shared" si="23"/>
        <v>3000(含)-5000</v>
      </c>
      <c r="I102" s="527" t="str">
        <f t="shared" si="23"/>
        <v>5000(含)-7000</v>
      </c>
      <c r="J102" s="527" t="str">
        <f t="shared" si="23"/>
        <v>7000(含)-10000</v>
      </c>
      <c r="K102" s="527" t="str">
        <f t="shared" si="23"/>
        <v>10000(含)-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v>3000</v>
      </c>
      <c r="I103" s="544">
        <v>5000</v>
      </c>
      <c r="J103" s="545">
        <v>7000</v>
      </c>
      <c r="K103" s="545">
        <v>10000</v>
      </c>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 t="shared" ref="E104:K104" si="24">D104-2</f>
        <v>96</v>
      </c>
      <c r="F104" s="485">
        <f t="shared" si="24"/>
        <v>94</v>
      </c>
      <c r="G104" s="485">
        <f t="shared" si="24"/>
        <v>92</v>
      </c>
      <c r="H104" s="485">
        <f t="shared" si="24"/>
        <v>90</v>
      </c>
      <c r="I104" s="485">
        <f t="shared" si="24"/>
        <v>88</v>
      </c>
      <c r="J104" s="485">
        <f t="shared" si="24"/>
        <v>86</v>
      </c>
      <c r="K104" s="485">
        <f t="shared" si="24"/>
        <v>84</v>
      </c>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1" t="s">
        <v>3471</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1" t="s">
        <v>3472</v>
      </c>
      <c r="D114" s="3461" t="s">
        <v>3474</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1" t="s">
        <v>3476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464" t="s">
        <v>3478</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1" t="s">
        <v>3479</v>
      </c>
      <c r="D122" s="3461" t="s">
        <v>3480</v>
      </c>
      <c r="E122" s="3461" t="s">
        <v>3481</v>
      </c>
      <c r="F122" s="3464" t="s">
        <v>3482</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J41" sqref="J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59586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30718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35419</v>
      </c>
      <c r="D5" s="211" t="s">
        <v>1469</v>
      </c>
      <c r="E5" s="212" t="s">
        <v>1470</v>
      </c>
      <c r="F5" s="212" t="s">
        <v>1471</v>
      </c>
      <c r="G5" s="213"/>
    </row>
    <row r="6" spans="1:9" s="214" customFormat="1" ht="13.5" customHeight="1">
      <c r="A6" s="778" t="s">
        <v>1472</v>
      </c>
      <c r="B6" s="215" t="s">
        <v>1473</v>
      </c>
      <c r="C6" s="216">
        <f>基准地价修正!B2</f>
        <v>33994</v>
      </c>
      <c r="D6" s="217"/>
      <c r="E6" s="218"/>
      <c r="F6" s="218"/>
      <c r="G6" s="219"/>
    </row>
    <row r="7" spans="1:9" s="214" customFormat="1" ht="13.5" customHeight="1">
      <c r="A7" s="778" t="s">
        <v>1474</v>
      </c>
      <c r="B7" s="215" t="s">
        <v>1475</v>
      </c>
      <c r="C7" s="220">
        <f>ROUND(C6*F7,0)</f>
        <v>1037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388</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388</v>
      </c>
      <c r="D10" s="845">
        <f ca="1">IF(B1="",'数据-汇总表'!E6,IF(INDIRECT("'数据-取费表'!c"&amp;$G$1)="住宅",INDIRECT("'数据-取费表'!s"&amp;$G$1),INDIRECT("'数据-取费表'!k"&amp;$G$1)+INDIRECT("'数据-取费表'!s"&amp;$G$1)))</f>
        <v>19397.46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19397.46</v>
      </c>
      <c r="E19" s="211">
        <f>'数据-取费表'!B31</f>
        <v>200</v>
      </c>
      <c r="F19" s="231"/>
      <c r="G19" s="1856" t="s">
        <v>3416</v>
      </c>
    </row>
    <row r="20" spans="1:7" s="214" customFormat="1" ht="13.5" customHeight="1">
      <c r="A20" s="255" t="s">
        <v>1493</v>
      </c>
      <c r="B20" s="210" t="s">
        <v>1494</v>
      </c>
      <c r="C20" s="232">
        <f ca="1">ROUND((C5+C19)*F20,0)</f>
        <v>708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3030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7225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7225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50311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8729</v>
      </c>
      <c r="D34" s="217"/>
      <c r="E34" s="220"/>
      <c r="F34" s="257">
        <f ca="1">IF('数据-取费表'!B24=0,1,IF(B1="",'数据-取费表'!N16,INDIRECT("'数据-取费表'!n"&amp;$G$1)))</f>
        <v>1</v>
      </c>
      <c r="G34" s="219" t="s">
        <v>1526</v>
      </c>
    </row>
    <row r="35" spans="1:7" ht="13.5" customHeight="1">
      <c r="A35" s="780" t="s">
        <v>351</v>
      </c>
      <c r="B35" s="215" t="s">
        <v>1527</v>
      </c>
      <c r="C35" s="220">
        <f ca="1">ROUND(C34*F35,0)</f>
        <v>262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388</v>
      </c>
      <c r="D37" s="217">
        <f ca="1">D19</f>
        <v>19397.46</v>
      </c>
      <c r="E37" s="249">
        <f>'数据-取费表'!B35</f>
        <v>200</v>
      </c>
      <c r="F37" s="259"/>
      <c r="G37" s="261" t="s">
        <v>1532</v>
      </c>
    </row>
    <row r="38" spans="1:7" ht="13.5" customHeight="1">
      <c r="A38" s="780" t="s">
        <v>354</v>
      </c>
      <c r="B38" s="215" t="s">
        <v>1533</v>
      </c>
      <c r="C38" s="220">
        <f ca="1">ROUND(C34*F38,0)</f>
        <v>131</v>
      </c>
      <c r="D38" s="220"/>
      <c r="E38" s="220"/>
      <c r="F38" s="259">
        <f>'数据-取费表'!B36</f>
        <v>1.4999999999999999E-2</v>
      </c>
      <c r="G38" s="219" t="s">
        <v>1528</v>
      </c>
    </row>
    <row r="39" spans="1:7" s="214" customFormat="1" ht="13.5" customHeight="1">
      <c r="A39" s="255" t="s">
        <v>1534</v>
      </c>
      <c r="B39" s="210" t="s">
        <v>1535</v>
      </c>
      <c r="C39" s="232">
        <f ca="1">ROUND(C33*F20,0)</f>
        <v>190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395</v>
      </c>
      <c r="D42" s="238"/>
      <c r="E42" s="238"/>
      <c r="F42" s="239"/>
      <c r="G42" s="3706" t="s">
        <v>1544</v>
      </c>
    </row>
    <row r="43" spans="1:7" ht="13.5" customHeight="1">
      <c r="A43" s="780" t="s">
        <v>347</v>
      </c>
      <c r="B43" s="215" t="s">
        <v>1545</v>
      </c>
      <c r="C43" s="238">
        <f ca="1">ROUND(IF('数据-取费表'!B22&lt;=1,C39*F22*'数据-取费表'!B21/2,C39*(POWER((1+F22),'数据-取费表'!B21/2)-1)),0)</f>
        <v>8</v>
      </c>
      <c r="D43" s="238"/>
      <c r="E43" s="238"/>
      <c r="F43" s="239"/>
      <c r="G43" s="3707"/>
    </row>
    <row r="44" spans="1:7" ht="13.5" customHeight="1">
      <c r="A44" s="780" t="s">
        <v>348</v>
      </c>
      <c r="B44" s="215" t="s">
        <v>1546</v>
      </c>
      <c r="C44" s="238">
        <f ca="1">ROUND(IF('数据-取费表'!B22&lt;=1,C40*F22*'数据-取费表'!B21/2,C40*(POWER((1+F22),'数据-取费表'!B21/2)-1)),4)</f>
        <v>8.0000000000000004E-4</v>
      </c>
      <c r="D44" s="238"/>
      <c r="E44" s="238"/>
      <c r="F44" s="239"/>
      <c r="G44" s="3708"/>
    </row>
    <row r="45" spans="1:7" s="214" customFormat="1" ht="13.5" customHeight="1">
      <c r="A45" s="255" t="s">
        <v>1547</v>
      </c>
      <c r="B45" s="244" t="s">
        <v>1513</v>
      </c>
      <c r="C45" s="245">
        <f ca="1">C46</f>
        <v>1940</v>
      </c>
      <c r="D45" s="235">
        <f ca="1">C47</f>
        <v>4.0000000000000001E-3</v>
      </c>
      <c r="E45" s="236" t="s">
        <v>1539</v>
      </c>
      <c r="F45" s="246">
        <f ca="1">F27</f>
        <v>0.2</v>
      </c>
      <c r="G45" s="247" t="s">
        <v>1548</v>
      </c>
    </row>
    <row r="46" spans="1:7" s="214" customFormat="1" ht="13.5" customHeight="1">
      <c r="A46" s="780" t="s">
        <v>346</v>
      </c>
      <c r="B46" s="248" t="s">
        <v>1549</v>
      </c>
      <c r="C46" s="249">
        <f ca="1">ROUND((C33+C39)*F27,0)</f>
        <v>1940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13063</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9275</v>
      </c>
      <c r="D51" s="232"/>
      <c r="E51" s="232"/>
      <c r="F51" s="264"/>
      <c r="G51" s="234" t="s">
        <v>1560</v>
      </c>
    </row>
    <row r="52" spans="1:7" s="208" customFormat="1" ht="16.5" thickBot="1">
      <c r="A52" s="265" t="s">
        <v>1561</v>
      </c>
      <c r="B52" s="266"/>
      <c r="C52" s="267">
        <f ca="1">C31+C51</f>
        <v>59586</v>
      </c>
      <c r="D52" s="266"/>
      <c r="E52" s="266"/>
      <c r="F52" s="266"/>
      <c r="G52" s="268"/>
    </row>
    <row r="55" spans="1:7" ht="15">
      <c r="B55" s="270" t="s">
        <v>1562</v>
      </c>
      <c r="C55" s="271"/>
    </row>
    <row r="56" spans="1:7">
      <c r="B56" s="273" t="s">
        <v>802</v>
      </c>
      <c r="C56" s="275">
        <f ca="1">1-C57</f>
        <v>0.84399999999999997</v>
      </c>
    </row>
    <row r="57" spans="1:7">
      <c r="B57" s="273" t="s">
        <v>803</v>
      </c>
      <c r="C57" s="274">
        <f ca="1">ROUND(C51/C52,3)</f>
        <v>0.156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37" activeCellId="1" sqref="V2:V3 E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5261.87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33994</v>
      </c>
      <c r="C2" s="1999" t="s">
        <v>1935</v>
      </c>
      <c r="D2" s="2000" t="s">
        <v>1936</v>
      </c>
      <c r="E2" s="3418"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23061</v>
      </c>
      <c r="U2" s="1213">
        <f>'数据-基础表'!I13</f>
        <v>7067.8</v>
      </c>
      <c r="V2" s="3357">
        <f>ROUND(T2*U2/10000,0)</f>
        <v>16299</v>
      </c>
      <c r="W2" s="1216"/>
      <c r="X2" s="1216"/>
      <c r="Y2" s="1216"/>
      <c r="Z2" s="1216"/>
      <c r="AA2" s="1216"/>
      <c r="AB2" s="1216"/>
      <c r="AC2" s="1217"/>
      <c r="AD2" s="1218"/>
      <c r="AE2" s="1218"/>
      <c r="AF2" s="1218"/>
      <c r="AG2" s="1218"/>
      <c r="AH2" s="1218"/>
      <c r="AI2" s="1218"/>
      <c r="AJ2" s="1219"/>
    </row>
    <row r="3" spans="1:36" ht="15.75">
      <c r="A3" s="203" t="s">
        <v>1940</v>
      </c>
      <c r="B3" s="204">
        <f>ROUND(B2*10000/D1,0)</f>
        <v>64604</v>
      </c>
      <c r="C3" s="1999" t="s">
        <v>1941</v>
      </c>
      <c r="D3" s="2000" t="s">
        <v>1942</v>
      </c>
      <c r="E3" s="3416" t="s">
        <v>2437</v>
      </c>
      <c r="F3" s="2004" t="s">
        <v>3405</v>
      </c>
      <c r="G3" s="752">
        <f>IF(F3="宗地容积率",'数据-汇总表'!I4,IF(F3="估价对象容积率",'数据-汇总表'!I6,'数据-汇总表'!I7))</f>
        <v>1.36</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18177</v>
      </c>
      <c r="U3" s="1213">
        <f>'数据-基础表'!I14</f>
        <v>7067.79</v>
      </c>
      <c r="V3" s="3357">
        <f t="shared" ref="V3:V16" si="1">ROUND(T3*U3/10000,0)</f>
        <v>12847</v>
      </c>
      <c r="W3" s="1216"/>
      <c r="X3" s="1216"/>
      <c r="Y3" s="1216"/>
      <c r="Z3" s="1216"/>
      <c r="AA3" s="1216"/>
      <c r="AB3" s="1216"/>
      <c r="AC3" s="1217"/>
      <c r="AD3" s="1218"/>
      <c r="AE3" s="1218"/>
      <c r="AF3" s="1218"/>
      <c r="AG3" s="1218"/>
      <c r="AH3" s="1218"/>
      <c r="AI3" s="1218"/>
      <c r="AJ3" s="1219"/>
    </row>
    <row r="4" spans="1:36" ht="15.75">
      <c r="A4" s="3716"/>
      <c r="B4" s="3717"/>
      <c r="C4" s="3717"/>
      <c r="D4" s="3718"/>
      <c r="E4" s="3718"/>
      <c r="F4" s="3718"/>
      <c r="G4" s="3718"/>
      <c r="H4" s="3718"/>
      <c r="I4" s="3718"/>
      <c r="J4" s="3719"/>
      <c r="K4" s="1119"/>
      <c r="L4" s="2003" t="s">
        <v>1946</v>
      </c>
      <c r="M4" s="864">
        <f>SUMPRODUCT((区片价!B55:B86=I2)*(区片价!C3:G3=E2)*(区片价!C55:G86))</f>
        <v>21000</v>
      </c>
      <c r="N4" s="866">
        <f>SUMPRODUCT((因素修正幅度!B55:B86=I2)*(因素修正幅度!C3:G3=E2)*(因素修正幅度!C55:G86))</f>
        <v>9.5000000000000001E-2</v>
      </c>
      <c r="O4" s="1119"/>
      <c r="P4" s="1119"/>
      <c r="Q4" s="1119"/>
      <c r="R4" s="1212">
        <v>3</v>
      </c>
      <c r="S4" s="3357">
        <f>ROUND(SUMPRODUCT((B106:B110=R4)*(C105:N105=G2)*(C106:N110)),4)</f>
        <v>1.0004999999999999</v>
      </c>
      <c r="T4" s="3357">
        <f t="shared" si="0"/>
        <v>15362</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20984</v>
      </c>
      <c r="D5" s="1339">
        <f>ROUND(C6*C17+C20,0)</f>
        <v>20984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13549</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13021</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四级</v>
      </c>
      <c r="Y7" s="1214" t="s">
        <v>1956</v>
      </c>
      <c r="Z7" s="1215">
        <f>G3</f>
        <v>1.36</v>
      </c>
      <c r="AA7" s="1216"/>
      <c r="AB7" s="1216"/>
      <c r="AC7" s="1217"/>
      <c r="AD7" s="1218"/>
      <c r="AE7" s="1218"/>
      <c r="AF7" s="1218"/>
      <c r="AG7" s="1218"/>
      <c r="AH7" s="1218"/>
      <c r="AI7" s="1218"/>
      <c r="AJ7" s="1219"/>
    </row>
    <row r="8" spans="1:36" ht="25.5">
      <c r="A8" s="3295"/>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13" t="s">
        <v>1960</v>
      </c>
      <c r="X8" s="371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15"/>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1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3244</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3245</v>
      </c>
      <c r="G14" s="3308" t="s">
        <v>3245</v>
      </c>
      <c r="H14" s="3308" t="s">
        <v>3245</v>
      </c>
      <c r="I14" s="3308" t="s">
        <v>3245</v>
      </c>
      <c r="J14" s="3308" t="s">
        <v>3245</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3246</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3250</v>
      </c>
      <c r="E18" s="3325"/>
      <c r="F18" s="3320" t="s">
        <v>3253</v>
      </c>
      <c r="G18" s="3324">
        <f>ROUND(1-(1/(POWER(1+G24,E18))),4)</f>
        <v>0</v>
      </c>
      <c r="H18" s="3320" t="s">
        <v>3255</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3251</v>
      </c>
      <c r="E19" s="3334"/>
      <c r="F19" s="3335" t="s">
        <v>3254</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20" t="s">
        <v>3256</v>
      </c>
      <c r="B20" s="167" t="s">
        <v>1994</v>
      </c>
      <c r="C20" s="3321">
        <f>ROUND(IF(F21="与级别开发程度一致",0,(G21-E21)/C21),0)</f>
        <v>-16</v>
      </c>
      <c r="D20" s="3337" t="s">
        <v>1998</v>
      </c>
      <c r="E20" s="3338"/>
      <c r="F20" s="3726" t="s">
        <v>1995</v>
      </c>
      <c r="G20" s="3727"/>
      <c r="H20" s="3322" t="s">
        <v>3407</v>
      </c>
      <c r="I20" s="3322" t="s">
        <v>3408</v>
      </c>
      <c r="J20" s="3323" t="s">
        <v>3409</v>
      </c>
      <c r="K20" s="2047" t="s">
        <v>3410</v>
      </c>
      <c r="L20" s="2047" t="s">
        <v>3411</v>
      </c>
      <c r="M20" s="2047" t="s">
        <v>3412</v>
      </c>
      <c r="N20" s="2047" t="s">
        <v>3423</v>
      </c>
      <c r="O20" s="2048" t="s">
        <v>43</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2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45023</v>
      </c>
      <c r="H23" s="3339" t="s">
        <v>3258</v>
      </c>
      <c r="I23" s="3340" t="str">
        <f>IF(H23="季度增幅（自定义）",SUMIF(N25:N28,E2,O25:O28),"")</f>
        <v/>
      </c>
      <c r="J23" s="3442" t="s">
        <v>3257</v>
      </c>
      <c r="K23" s="1125"/>
      <c r="L23" s="2055" t="s">
        <v>2004</v>
      </c>
      <c r="M23" s="1328">
        <f>ROUND(SUMIF(地价!B2:G2,E2,地价!B16:G16),0)</f>
        <v>350</v>
      </c>
      <c r="N23" s="2056"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0.68169999999999997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17.190000000000001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3413</v>
      </c>
      <c r="C25" s="771">
        <f>IF(B25="容积率修正",IF(G3&lt;10,D26,J26),C27)</f>
        <v>1.5019</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3259</v>
      </c>
      <c r="D26" s="1352">
        <f>IF(E26=G26,F26,IF(G3&lt;10,ROUND(F26+(H26-F26)*(G3-E26)/(G26-E26),4),"——"))</f>
        <v>1.1348</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41" t="s">
        <v>3260</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1.0470999999999999</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33994</v>
      </c>
      <c r="D30" s="2083"/>
      <c r="E30" s="2046"/>
      <c r="F30" s="2084"/>
      <c r="G30" s="2046"/>
      <c r="H30" s="2046"/>
      <c r="I30" s="2046"/>
      <c r="J30" s="2085"/>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1212</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23061</v>
      </c>
      <c r="D33" s="2098"/>
      <c r="E33" s="773">
        <f>ROUND(C33*D33/10000,0)</f>
        <v>0</v>
      </c>
      <c r="F33" s="3342" t="s">
        <v>3262</v>
      </c>
      <c r="G33" s="2099"/>
      <c r="H33" s="2099"/>
      <c r="I33" s="2099"/>
      <c r="J33" s="2100"/>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4"/>
      <c r="B37" s="2113" t="s">
        <v>2036</v>
      </c>
      <c r="C37" s="175">
        <f>ROUND(D5*C22*C23*C24*C28*F37,0)</f>
        <v>9213</v>
      </c>
      <c r="D37" s="2098">
        <f>'数据-汇总表'!G19</f>
        <v>5261.87</v>
      </c>
      <c r="E37" s="171">
        <f>ROUND(C37*D37/10000,0)</f>
        <v>4848</v>
      </c>
      <c r="F37" s="171">
        <f>SUMIF(修正!A57:A68,G2,修正!B57:B68)</f>
        <v>0.6</v>
      </c>
      <c r="G37" s="171">
        <f>ROUND(IF(E2="工业",C37*$M$42,C37*$M$41),0)</f>
        <v>2303</v>
      </c>
      <c r="H37" s="171">
        <f>D37</f>
        <v>5261.87</v>
      </c>
      <c r="I37" s="171">
        <f>ROUND(G37*H37/10000,0)</f>
        <v>1212</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5"/>
      <c r="B38" s="2041" t="s">
        <v>2037</v>
      </c>
      <c r="C38" s="175">
        <f>ROUND(D5*C22*C23*C24*C28*F38,0)</f>
        <v>4606</v>
      </c>
      <c r="D38" s="2098"/>
      <c r="E38" s="171">
        <f t="shared" ref="E38:E42" si="4">ROUND(C38*D38/10000,0)</f>
        <v>0</v>
      </c>
      <c r="F38" s="171">
        <f>SUMIF(修正!A57:A68,G2,修正!C57:C68)</f>
        <v>0.3</v>
      </c>
      <c r="G38" s="171">
        <f>ROUND(IF(E2="工业",C38*$M$42,C38*$M$41),0)</f>
        <v>1152</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25"/>
      <c r="B39" s="2041" t="s">
        <v>3261</v>
      </c>
      <c r="C39" s="175">
        <f>ROUND(D5*C22*C23*C24*C28*F39,0)</f>
        <v>3839</v>
      </c>
      <c r="D39" s="2098"/>
      <c r="E39" s="171">
        <f t="shared" si="4"/>
        <v>0</v>
      </c>
      <c r="F39" s="171">
        <f>SUMIF(修正!A57:A68,G2,修正!D57:D68)</f>
        <v>0.25</v>
      </c>
      <c r="G39" s="171">
        <f>ROUND(IF(E2="工业",C39*$M$42,C39*$M$41),0)</f>
        <v>960</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3839</v>
      </c>
      <c r="D40" s="2098"/>
      <c r="E40" s="171">
        <f t="shared" si="4"/>
        <v>0</v>
      </c>
      <c r="F40" s="175">
        <f>SUMIF(修正!A57:A68,G2,修正!E57:E68)</f>
        <v>0.25</v>
      </c>
      <c r="G40" s="171">
        <f>ROUND(IF(E2="工业",C40*$M$42,C40*$M$41),0)</f>
        <v>960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3458</v>
      </c>
      <c r="D50" s="1065">
        <f t="shared" ref="D50:D58" si="7">SUMIF($J$49:$N$49,C50,J50:N50)</f>
        <v>1.4200000000000001E-2</v>
      </c>
      <c r="E50" s="744">
        <f>ROUND(SUM(D50:D58),4)</f>
        <v>4.7100000000000003E-2</v>
      </c>
      <c r="F50" s="1814">
        <f>IF(E2="商业",SUMIF(L1:L12,G2,N1:N12),"——")</f>
        <v>9.5000000000000001E-2</v>
      </c>
      <c r="G50" s="1063">
        <v>1.4200000000000001E-2</v>
      </c>
      <c r="H50" s="1066">
        <f t="shared" ref="G50:H58" si="8">IFERROR(ROUNDDOWN($F$50*I50/2,4),"——")</f>
        <v>1.4200000000000001E-2</v>
      </c>
      <c r="I50" s="3363">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3458</v>
      </c>
      <c r="D51" s="1065">
        <f t="shared" si="7"/>
        <v>1.04E-2</v>
      </c>
      <c r="E51" s="745"/>
      <c r="F51" s="1814"/>
      <c r="G51" s="1063">
        <v>1.04E-2</v>
      </c>
      <c r="H51" s="1066">
        <f t="shared" si="8"/>
        <v>1.04E-2</v>
      </c>
      <c r="I51" s="3363">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5" t="s">
        <v>3271</v>
      </c>
      <c r="B52" s="2134">
        <f>估价对象房地状况!C19</f>
        <v>0</v>
      </c>
      <c r="C52" s="2044" t="s">
        <v>3458</v>
      </c>
      <c r="D52" s="1065">
        <f t="shared" si="7"/>
        <v>5.7000000000000002E-3</v>
      </c>
      <c r="E52" s="745"/>
      <c r="F52" s="1814"/>
      <c r="G52" s="1063">
        <v>5.7000000000000002E-3</v>
      </c>
      <c r="H52" s="1066">
        <f t="shared" si="8"/>
        <v>5.7000000000000002E-3</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3458</v>
      </c>
      <c r="D53" s="1065">
        <f t="shared" si="7"/>
        <v>2.3E-3</v>
      </c>
      <c r="E53" s="745"/>
      <c r="F53" s="1814"/>
      <c r="G53" s="1063">
        <v>2.3E-3</v>
      </c>
      <c r="H53" s="1066">
        <f t="shared" si="8"/>
        <v>2.3E-3</v>
      </c>
      <c r="I53" s="3363">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3460</v>
      </c>
      <c r="D54" s="1065">
        <f t="shared" si="7"/>
        <v>0</v>
      </c>
      <c r="E54" s="745"/>
      <c r="F54" s="1814"/>
      <c r="G54" s="1063">
        <v>3.8E-3</v>
      </c>
      <c r="H54" s="1066">
        <f t="shared" si="8"/>
        <v>3.8E-3</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3458</v>
      </c>
      <c r="D55" s="1065">
        <f t="shared" si="7"/>
        <v>2.3E-3</v>
      </c>
      <c r="E55" s="745"/>
      <c r="F55" s="1814"/>
      <c r="G55" s="1063">
        <v>2.3E-3</v>
      </c>
      <c r="H55" s="1066">
        <f t="shared" si="8"/>
        <v>2.3E-3</v>
      </c>
      <c r="I55" s="3363">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3458</v>
      </c>
      <c r="D56" s="1065">
        <f t="shared" si="7"/>
        <v>2.3E-3</v>
      </c>
      <c r="E56" s="745"/>
      <c r="F56" s="1814"/>
      <c r="G56" s="1063">
        <v>2.3E-3</v>
      </c>
      <c r="H56" s="1066">
        <f t="shared" si="8"/>
        <v>2.3E-3</v>
      </c>
      <c r="I56" s="3363">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3498</v>
      </c>
      <c r="D57" s="1065">
        <f t="shared" si="7"/>
        <v>7.6E-3</v>
      </c>
      <c r="E57" s="745"/>
      <c r="F57" s="1814"/>
      <c r="G57" s="1063">
        <v>3.8E-3</v>
      </c>
      <c r="H57" s="1066">
        <f t="shared" si="8"/>
        <v>3.8E-3</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3458</v>
      </c>
      <c r="D58" s="1065">
        <f t="shared" si="7"/>
        <v>2.3E-3</v>
      </c>
      <c r="E58" s="746"/>
      <c r="F58" s="1814"/>
      <c r="G58" s="1063">
        <v>2.3E-3</v>
      </c>
      <c r="H58" s="1066">
        <f t="shared" si="8"/>
        <v>2.3E-3</v>
      </c>
      <c r="I58" s="3364">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3271</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3271</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3272</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3275</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3279</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3280</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3281</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22" t="s">
        <v>3296</v>
      </c>
      <c r="B103" s="3722"/>
      <c r="C103" s="3722"/>
      <c r="D103" s="3722"/>
      <c r="E103" s="3722"/>
      <c r="F103" s="3722"/>
      <c r="G103" s="3722"/>
      <c r="H103" s="3722"/>
      <c r="I103" s="3722"/>
      <c r="J103" s="3722"/>
      <c r="K103" s="3386"/>
      <c r="L103" s="3386"/>
      <c r="M103" s="3386"/>
      <c r="N103" s="3386"/>
    </row>
    <row r="104" spans="1:14">
      <c r="A104" s="3723" t="s">
        <v>3297</v>
      </c>
      <c r="B104" s="3723" t="s">
        <v>3298</v>
      </c>
      <c r="C104" s="3387" t="s">
        <v>3299</v>
      </c>
      <c r="D104" s="3388"/>
      <c r="E104" s="3388"/>
      <c r="F104" s="3388"/>
      <c r="G104" s="3388"/>
      <c r="H104" s="3388"/>
      <c r="I104" s="3388"/>
      <c r="J104" s="3389"/>
      <c r="K104" s="3390"/>
      <c r="L104" s="3390"/>
      <c r="M104" s="3390"/>
      <c r="N104" s="3390"/>
    </row>
    <row r="105" spans="1:14">
      <c r="A105" s="3723"/>
      <c r="B105" s="3723"/>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09"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1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1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1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1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10"/>
      <c r="B111" s="3391" t="s">
        <v>3270</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11"/>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12" t="s">
        <v>3313</v>
      </c>
      <c r="B113" s="3712"/>
      <c r="C113" s="3712"/>
      <c r="D113" s="3712"/>
      <c r="E113" s="3712"/>
      <c r="F113" s="3712"/>
      <c r="G113" s="3712"/>
      <c r="H113" s="3712"/>
      <c r="I113" s="3712"/>
      <c r="J113" s="371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1.36</v>
      </c>
      <c r="C116" s="3396" t="s">
        <v>3315</v>
      </c>
      <c r="D116" s="3397">
        <f>SUMPRODUCT((A118:A122=F116)*(B117:M117=H116)*B118:M122)</f>
        <v>0.93</v>
      </c>
      <c r="E116" s="2000" t="s">
        <v>3316</v>
      </c>
      <c r="F116" s="3398" t="str">
        <f>E2</f>
        <v>商业</v>
      </c>
      <c r="G116" s="2000" t="s">
        <v>3317</v>
      </c>
      <c r="H116" s="3398" t="str">
        <f>G2</f>
        <v>四级</v>
      </c>
      <c r="I116" s="2000"/>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0.98180000000000001</v>
      </c>
      <c r="C118" s="3384">
        <f>B118</f>
        <v>0.98180000000000001</v>
      </c>
      <c r="D118" s="3384">
        <f>ROUND(0.949-0.014*B116,4)</f>
        <v>0.93</v>
      </c>
      <c r="E118" s="3384">
        <f>D118</f>
        <v>0.93</v>
      </c>
      <c r="F118" s="3384">
        <f>E118</f>
        <v>0.93</v>
      </c>
      <c r="G118" s="3384">
        <f>F118</f>
        <v>0.93</v>
      </c>
      <c r="H118" s="3384">
        <f>G118</f>
        <v>0.93</v>
      </c>
      <c r="I118" s="3384">
        <f>ROUND(0.8486-0.018*B116,4)</f>
        <v>0.82410000000000005</v>
      </c>
      <c r="J118" s="3384">
        <f t="shared" ref="J118:M122" si="35">I118</f>
        <v>0.82410000000000005</v>
      </c>
      <c r="K118" s="3384">
        <f t="shared" si="35"/>
        <v>0.82410000000000005</v>
      </c>
      <c r="L118" s="3384">
        <f t="shared" si="35"/>
        <v>0.82410000000000005</v>
      </c>
      <c r="M118" s="3407">
        <f t="shared" si="35"/>
        <v>0.82410000000000005</v>
      </c>
      <c r="N118" s="3394"/>
    </row>
    <row r="119" spans="1:14">
      <c r="A119" s="3406" t="s">
        <v>3331</v>
      </c>
      <c r="B119" s="3384">
        <f>ROUND(0.993-0.0112*B116,4)</f>
        <v>0.9778</v>
      </c>
      <c r="C119" s="3384">
        <f>B119</f>
        <v>0.9778</v>
      </c>
      <c r="D119" s="3384">
        <f>ROUND(0.9415-0.0142*B116,4)</f>
        <v>0.92220000000000002</v>
      </c>
      <c r="E119" s="3384">
        <f t="shared" ref="E119:H120" si="36">D119</f>
        <v>0.92220000000000002</v>
      </c>
      <c r="F119" s="3384">
        <f t="shared" si="36"/>
        <v>0.92220000000000002</v>
      </c>
      <c r="G119" s="3384">
        <f t="shared" si="36"/>
        <v>0.92220000000000002</v>
      </c>
      <c r="H119" s="3384">
        <f t="shared" si="36"/>
        <v>0.92220000000000002</v>
      </c>
      <c r="I119" s="3384">
        <f>ROUND(0.838-0.0182*B116,4)</f>
        <v>0.81320000000000003</v>
      </c>
      <c r="J119" s="3384">
        <f t="shared" si="35"/>
        <v>0.81320000000000003</v>
      </c>
      <c r="K119" s="3384">
        <f t="shared" si="35"/>
        <v>0.81320000000000003</v>
      </c>
      <c r="L119" s="3384">
        <f t="shared" si="35"/>
        <v>0.81320000000000003</v>
      </c>
      <c r="M119" s="3407">
        <f t="shared" si="35"/>
        <v>0.81320000000000003</v>
      </c>
      <c r="N119" s="3394"/>
    </row>
    <row r="120" spans="1:14">
      <c r="A120" s="3406" t="s">
        <v>3332</v>
      </c>
      <c r="B120" s="3384">
        <f>ROUND(0.9448-0.0115*B116,4)</f>
        <v>0.92920000000000003</v>
      </c>
      <c r="C120" s="3384">
        <f>B120</f>
        <v>0.92920000000000003</v>
      </c>
      <c r="D120" s="3384">
        <f>ROUND(0.937-0.0145*B116,4)</f>
        <v>0.9173</v>
      </c>
      <c r="E120" s="3384">
        <f t="shared" si="36"/>
        <v>0.9173</v>
      </c>
      <c r="F120" s="3384">
        <f t="shared" si="36"/>
        <v>0.9173</v>
      </c>
      <c r="G120" s="3384">
        <f t="shared" si="36"/>
        <v>0.9173</v>
      </c>
      <c r="H120" s="3384">
        <f t="shared" si="36"/>
        <v>0.9173</v>
      </c>
      <c r="I120" s="3384">
        <f>ROUND(0.7965-0.0185*B116,4)</f>
        <v>0.77129999999999999</v>
      </c>
      <c r="J120" s="3384">
        <f t="shared" si="35"/>
        <v>0.77129999999999999</v>
      </c>
      <c r="K120" s="3384">
        <f t="shared" si="35"/>
        <v>0.77129999999999999</v>
      </c>
      <c r="L120" s="3384">
        <f t="shared" si="35"/>
        <v>0.77129999999999999</v>
      </c>
      <c r="M120" s="3407">
        <f t="shared" si="35"/>
        <v>0.77129999999999999</v>
      </c>
      <c r="N120" s="3394"/>
    </row>
    <row r="121" spans="1:14" ht="13.5" thickBot="1">
      <c r="A121" s="3408" t="s">
        <v>3333</v>
      </c>
      <c r="B121" s="3409">
        <f>ROUND(0.7836-0.012*B116,4)</f>
        <v>0.76729999999999998</v>
      </c>
      <c r="C121" s="3409">
        <f>B121</f>
        <v>0.76729999999999998</v>
      </c>
      <c r="D121" s="3409">
        <f>ROUND(0.753-0.015*B116,4)</f>
        <v>0.73260000000000003</v>
      </c>
      <c r="E121" s="3409">
        <f>D121</f>
        <v>0.73260000000000003</v>
      </c>
      <c r="F121" s="3409">
        <f>E121</f>
        <v>0.73260000000000003</v>
      </c>
      <c r="G121" s="3409">
        <f>ROUND(0.6612-0.018*B116,4)</f>
        <v>0.63670000000000004</v>
      </c>
      <c r="H121" s="3409">
        <f>G121</f>
        <v>0.63670000000000004</v>
      </c>
      <c r="I121" s="3409">
        <f>ROUND(0.5905-0.019*B116,4)</f>
        <v>0.56469999999999998</v>
      </c>
      <c r="J121" s="3409">
        <f t="shared" si="35"/>
        <v>0.56469999999999998</v>
      </c>
      <c r="K121" s="3409">
        <f t="shared" si="35"/>
        <v>0.56469999999999998</v>
      </c>
      <c r="L121" s="3409">
        <f t="shared" si="35"/>
        <v>0.56469999999999998</v>
      </c>
      <c r="M121" s="3410">
        <f t="shared" si="35"/>
        <v>0.56469999999999998</v>
      </c>
      <c r="N121" s="3394"/>
    </row>
    <row r="122" spans="1:14">
      <c r="A122" s="3411" t="s">
        <v>2610</v>
      </c>
      <c r="B122" s="3384">
        <f>ROUND(0.9404-0.0106*B116,4)</f>
        <v>0.92600000000000005</v>
      </c>
      <c r="C122" s="3384">
        <f>B122</f>
        <v>0.92600000000000005</v>
      </c>
      <c r="D122" s="3384">
        <f>ROUND(0.8955-0.0135*B116,4)</f>
        <v>0.87709999999999999</v>
      </c>
      <c r="E122" s="3384">
        <f t="shared" ref="E122:H122" si="37">D122</f>
        <v>0.87709999999999999</v>
      </c>
      <c r="F122" s="3384">
        <f t="shared" si="37"/>
        <v>0.87709999999999999</v>
      </c>
      <c r="G122" s="3384">
        <f t="shared" si="37"/>
        <v>0.87709999999999999</v>
      </c>
      <c r="H122" s="3384">
        <f t="shared" si="37"/>
        <v>0.87709999999999999</v>
      </c>
      <c r="I122" s="3384">
        <f>ROUND(0.7632-0.0166*B116,4)</f>
        <v>0.74060000000000004</v>
      </c>
      <c r="J122" s="3384">
        <f t="shared" si="35"/>
        <v>0.74060000000000004</v>
      </c>
      <c r="K122" s="3384">
        <f t="shared" si="35"/>
        <v>0.74060000000000004</v>
      </c>
      <c r="L122" s="3384">
        <f t="shared" si="35"/>
        <v>0.74060000000000004</v>
      </c>
      <c r="M122" s="3407">
        <f t="shared" si="35"/>
        <v>0.74060000000000004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10376.517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3879492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3879492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3879492</v>
      </c>
      <c r="D10" s="845">
        <f ca="1">IF(B1="",'数据-汇总表'!E6,IF(INDIRECT("'数据-取费表'!c"&amp;$G$1)="住宅",INDIRECT("'数据-取费表'!s"&amp;$G$1),INDIRECT("'数据-取费表'!k"&amp;$G$1)+INDIRECT("'数据-取费表'!s"&amp;$G$1)))</f>
        <v>19397.46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3879492</v>
      </c>
      <c r="D19" s="849">
        <f ca="1">D9+D10</f>
        <v>19397.46</v>
      </c>
      <c r="E19" s="211">
        <f>'数据-取费表'!B31</f>
        <v>200</v>
      </c>
      <c r="F19" s="231"/>
      <c r="G19" s="1856"/>
    </row>
    <row r="20" spans="1:7" s="214" customFormat="1" ht="13.5" customHeight="1">
      <c r="A20" s="255" t="s">
        <v>1574</v>
      </c>
      <c r="B20" s="210" t="s">
        <v>1575</v>
      </c>
      <c r="C20" s="232">
        <f ca="1">ROUND((C5+C19)*F20,0)</f>
        <v>155180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663798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328679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328679</v>
      </c>
      <c r="D24" s="238"/>
      <c r="E24" s="238"/>
      <c r="F24" s="239"/>
      <c r="G24" s="240" t="s">
        <v>1586</v>
      </c>
    </row>
    <row r="25" spans="1:7" s="214" customFormat="1" ht="24">
      <c r="A25" s="780" t="s">
        <v>1476</v>
      </c>
      <c r="B25" s="215" t="s">
        <v>1587</v>
      </c>
      <c r="C25" s="1128">
        <f ca="1">ROUND(IF('数据-取费表'!B22&lt;=1,C20*F22*'数据-取费表'!B22/2,C20*(POWER((1+F22),'数据-取费表'!B22/2)-1)),0)</f>
        <v>6440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1582833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1582833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11021580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95096048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87288570</v>
      </c>
      <c r="D34" s="217"/>
      <c r="E34" s="220"/>
      <c r="F34" s="257"/>
      <c r="G34" s="219"/>
    </row>
    <row r="35" spans="1:7" ht="13.5" customHeight="1">
      <c r="A35" s="780" t="s">
        <v>351</v>
      </c>
      <c r="B35" s="215" t="s">
        <v>1527</v>
      </c>
      <c r="C35" s="220">
        <f ca="1">ROUND(C34*F35,0)</f>
        <v>2618657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3879492</v>
      </c>
      <c r="D37" s="217">
        <f ca="1">D19</f>
        <v>19397.46</v>
      </c>
      <c r="E37" s="249">
        <f>'数据-取费表'!B35</f>
        <v>200</v>
      </c>
      <c r="F37" s="259"/>
      <c r="G37" s="261"/>
    </row>
    <row r="38" spans="1:7" ht="13.5" customHeight="1">
      <c r="A38" s="780" t="s">
        <v>354</v>
      </c>
      <c r="B38" s="215" t="s">
        <v>1533</v>
      </c>
      <c r="C38" s="220">
        <f ca="1">ROUND(C34*F38,0)</f>
        <v>1309329</v>
      </c>
      <c r="D38" s="220"/>
      <c r="E38" s="220"/>
      <c r="F38" s="259">
        <f>'数据-取费表'!B36</f>
        <v>1.4999999999999999E-2</v>
      </c>
      <c r="G38" s="219" t="s">
        <v>1528</v>
      </c>
    </row>
    <row r="39" spans="1:7" s="214" customFormat="1" ht="13.5" customHeight="1">
      <c r="A39" s="255" t="s">
        <v>1534</v>
      </c>
      <c r="B39" s="210" t="s">
        <v>1535</v>
      </c>
      <c r="C39" s="232">
        <f ca="1">ROUND(C33*F20,0)</f>
        <v>1901921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4025416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3946486</v>
      </c>
      <c r="D42" s="238"/>
      <c r="E42" s="238"/>
      <c r="F42" s="239"/>
      <c r="G42" s="3706" t="s">
        <v>1591</v>
      </c>
    </row>
    <row r="43" spans="1:7" ht="13.5" customHeight="1">
      <c r="A43" s="780" t="s">
        <v>347</v>
      </c>
      <c r="B43" s="215" t="s">
        <v>1545</v>
      </c>
      <c r="C43" s="238">
        <f ca="1">ROUND(IF('数据-取费表'!B22&lt;=1,C39*F22*'数据-取费表'!B20/2,C39*(POWER((1+F22),'数据-取费表'!B20/2)-1)),0)</f>
        <v>78930</v>
      </c>
      <c r="D43" s="238"/>
      <c r="E43" s="238"/>
      <c r="F43" s="239"/>
      <c r="G43" s="3707"/>
    </row>
    <row r="44" spans="1:7" ht="13.5" customHeight="1">
      <c r="A44" s="780" t="s">
        <v>348</v>
      </c>
      <c r="B44" s="215" t="s">
        <v>1546</v>
      </c>
      <c r="C44" s="238">
        <f ca="1">ROUND(IF('数据-取费表'!B22&lt;=1,C40*F22*'数据-取费表'!B20/2,C40*(POWER((1+F22),'数据-取费表'!B20/2)-1)),4)</f>
        <v>8.0000000000000004E-4</v>
      </c>
      <c r="D44" s="238"/>
      <c r="E44" s="238"/>
      <c r="F44" s="239"/>
      <c r="G44" s="3708"/>
    </row>
    <row r="45" spans="1:7" s="214" customFormat="1" ht="13.5" customHeight="1">
      <c r="A45" s="255" t="s">
        <v>1547</v>
      </c>
      <c r="B45" s="244" t="s">
        <v>1513</v>
      </c>
      <c r="C45" s="245">
        <f ca="1">C46</f>
        <v>19399594</v>
      </c>
      <c r="D45" s="235">
        <f ca="1">C47</f>
        <v>4.0000000000000001E-3</v>
      </c>
      <c r="E45" s="236" t="s">
        <v>1539</v>
      </c>
      <c r="F45" s="246">
        <f ca="1">F27</f>
        <v>0.2</v>
      </c>
      <c r="G45" s="247" t="s">
        <v>1548</v>
      </c>
    </row>
    <row r="46" spans="1:7" s="214" customFormat="1" ht="13.5" customHeight="1">
      <c r="A46" s="780" t="s">
        <v>346</v>
      </c>
      <c r="B46" s="248" t="s">
        <v>1549</v>
      </c>
      <c r="C46" s="249">
        <f ca="1">ROUND((C33+C39)*F27,0)</f>
        <v>19399594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130624774</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92743590</v>
      </c>
      <c r="D51" s="232"/>
      <c r="E51" s="232"/>
      <c r="F51" s="264"/>
      <c r="G51" s="234" t="s">
        <v>1560</v>
      </c>
    </row>
    <row r="52" spans="1:7" s="208" customFormat="1" ht="16.5" thickBot="1">
      <c r="A52" s="265" t="s">
        <v>1561</v>
      </c>
      <c r="B52" s="266"/>
      <c r="C52" s="267">
        <f ca="1">C31+C51</f>
        <v>103765170</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19397.46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19397.46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388</v>
      </c>
      <c r="D20" s="846">
        <f ca="1">IF(C1="",'数据-汇总表'!E6,IF(INDIRECT("'数据-取费表'!c"&amp;$K$1)="住宅",INDIRECT("'数据-取费表'!s"&amp;$K$1),INDIRECT("'数据-取费表'!k"&amp;$K$1)+INDIRECT("'数据-取费表'!s"&amp;$K$1)))</f>
        <v>19397.46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zoomScale="90" zoomScaleNormal="70" zoomScaleSheetLayoutView="90"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17.190000000000001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54249</v>
      </c>
      <c r="C2" s="1387" t="s">
        <v>805</v>
      </c>
      <c r="D2" s="1387"/>
      <c r="E2" s="1388"/>
      <c r="F2" s="1389"/>
      <c r="G2" s="2702"/>
      <c r="H2" s="2691"/>
      <c r="I2" s="2691"/>
      <c r="J2" s="2691"/>
      <c r="K2" s="2692"/>
      <c r="L2" s="2691"/>
      <c r="M2" s="2691"/>
    </row>
    <row r="3" spans="1:37" ht="18" customHeight="1" thickBot="1">
      <c r="A3" s="1390" t="s">
        <v>806</v>
      </c>
      <c r="B3" s="1391">
        <f ca="1">IF(ISERROR(B2*10000/F43),0,ROUND(B2*10000/F43,0))</f>
        <v>27967</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5118</v>
      </c>
      <c r="D5" s="1364" t="s">
        <v>693</v>
      </c>
      <c r="E5" s="1071"/>
      <c r="F5" s="1072"/>
      <c r="G5" s="1384"/>
      <c r="H5" s="299">
        <v>1</v>
      </c>
      <c r="I5" s="300" t="s">
        <v>692</v>
      </c>
      <c r="J5" s="1070">
        <f ca="1">J6+J10+J12</f>
        <v>0</v>
      </c>
      <c r="K5" s="1364" t="s">
        <v>693</v>
      </c>
      <c r="L5" s="1071"/>
      <c r="M5" s="1072"/>
    </row>
    <row r="6" spans="1:37" ht="18" customHeight="1">
      <c r="A6" s="1069" t="s">
        <v>398</v>
      </c>
      <c r="B6" s="3730" t="s">
        <v>694</v>
      </c>
      <c r="C6" s="1074">
        <f ca="1">ROUND(F6*F8*F7*(1-F9)/10000,0)</f>
        <v>5112</v>
      </c>
      <c r="D6" s="155" t="s">
        <v>2108</v>
      </c>
      <c r="E6" s="302" t="s">
        <v>696</v>
      </c>
      <c r="F6" s="303">
        <f ca="1">INDIRECT("'数据-取费表'!u"&amp;$G$1)</f>
        <v>7.6</v>
      </c>
      <c r="G6" s="1384"/>
      <c r="H6" s="1069" t="s">
        <v>398</v>
      </c>
      <c r="I6" s="3730" t="s">
        <v>694</v>
      </c>
      <c r="J6" s="301">
        <f ca="1">ROUND(M6*M8*M7*(1-M9)/10000,0)</f>
        <v>0</v>
      </c>
      <c r="K6" s="155" t="s">
        <v>2107</v>
      </c>
      <c r="L6" s="302" t="s">
        <v>696</v>
      </c>
      <c r="M6" s="303">
        <f ca="1">INDIRECT("'数据-取费表'!z"&amp;$G$1)</f>
        <v>0</v>
      </c>
    </row>
    <row r="7" spans="1:37" ht="18" customHeight="1">
      <c r="A7" s="1073"/>
      <c r="B7" s="3731"/>
      <c r="C7" s="1075"/>
      <c r="D7" s="307"/>
      <c r="E7" s="1076" t="s">
        <v>697</v>
      </c>
      <c r="F7" s="303">
        <f ca="1">IF(INDIRECT("'数据-取费表'!ah"&amp;$G$1)="",INDIRECT("'数据-取费表'!k"&amp;$G$1),INDIRECT("'数据-取费表'!ah"&amp;$G$1))</f>
        <v>19397.46</v>
      </c>
      <c r="G7" s="1384"/>
      <c r="H7" s="304"/>
      <c r="I7" s="3731"/>
      <c r="J7" s="306"/>
      <c r="K7" s="307"/>
      <c r="L7" s="302" t="s">
        <v>697</v>
      </c>
      <c r="M7" s="303">
        <f ca="1">F7</f>
        <v>19397.46</v>
      </c>
    </row>
    <row r="8" spans="1:37" ht="18" customHeight="1">
      <c r="A8" s="304"/>
      <c r="B8" s="3731"/>
      <c r="C8" s="306"/>
      <c r="D8" s="307"/>
      <c r="E8" s="302" t="s">
        <v>698</v>
      </c>
      <c r="F8" s="303">
        <f ca="1">INDIRECT("'数据-取费表'!ai"&amp;$G$1)</f>
        <v>365</v>
      </c>
      <c r="G8" s="1384"/>
      <c r="H8" s="304"/>
      <c r="I8" s="3731"/>
      <c r="J8" s="306"/>
      <c r="K8" s="307"/>
      <c r="L8" s="302" t="s">
        <v>698</v>
      </c>
      <c r="M8" s="303">
        <f ca="1">INDIRECT("'数据-取费表'!ai"&amp;$G$1)</f>
        <v>365</v>
      </c>
    </row>
    <row r="9" spans="1:37" ht="18" customHeight="1">
      <c r="A9" s="304"/>
      <c r="B9" s="3732"/>
      <c r="C9" s="306"/>
      <c r="D9" s="307"/>
      <c r="E9" s="302" t="s">
        <v>699</v>
      </c>
      <c r="F9" s="312">
        <f ca="1">INDIRECT("'数据-取费表'!w"&amp;$G$1)</f>
        <v>0.05</v>
      </c>
      <c r="G9" s="1384"/>
      <c r="H9" s="304"/>
      <c r="I9" s="3732"/>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2116</v>
      </c>
      <c r="E10" s="313" t="s">
        <v>701</v>
      </c>
      <c r="F10" s="1116" t="s">
        <v>3417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9275</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8729</v>
      </c>
      <c r="D14" s="1345" t="s">
        <v>708</v>
      </c>
      <c r="E14" s="1342"/>
      <c r="F14" s="319"/>
      <c r="G14" s="1384"/>
      <c r="H14" s="982" t="s">
        <v>398</v>
      </c>
      <c r="I14" s="302" t="s">
        <v>709</v>
      </c>
      <c r="J14" s="21">
        <f ca="1">C29</f>
        <v>13063</v>
      </c>
      <c r="K14" s="12"/>
      <c r="L14" s="807"/>
      <c r="M14" s="808"/>
    </row>
    <row r="15" spans="1:37" s="1397" customFormat="1" ht="18" customHeight="1" thickBot="1">
      <c r="A15" s="982" t="s">
        <v>399</v>
      </c>
      <c r="B15" s="302" t="s">
        <v>710</v>
      </c>
      <c r="C15" s="21">
        <f ca="1">ROUND(C14*F15,0)</f>
        <v>262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134</v>
      </c>
      <c r="K16" s="1087" t="s">
        <v>715</v>
      </c>
      <c r="L16" s="1088"/>
      <c r="M16" s="1072"/>
    </row>
    <row r="17" spans="1:37" s="1397" customFormat="1" ht="18" customHeight="1">
      <c r="A17" s="982" t="s">
        <v>681</v>
      </c>
      <c r="B17" s="302" t="s">
        <v>716</v>
      </c>
      <c r="C17" s="21">
        <f ca="1">ROUND(F17*(F43+INDIRECT("'数据-取费表'!S"&amp;$G$1))/10000,0)</f>
        <v>388</v>
      </c>
      <c r="D17" s="302" t="s">
        <v>717</v>
      </c>
      <c r="E17" s="302" t="s">
        <v>718</v>
      </c>
      <c r="F17" s="23">
        <f>'数据-取费表'!B35</f>
        <v>200</v>
      </c>
      <c r="G17" s="1396"/>
      <c r="H17" s="982" t="s">
        <v>398</v>
      </c>
      <c r="I17" s="302" t="s">
        <v>719</v>
      </c>
      <c r="J17" s="2316">
        <f ca="1">ROUND(IF(AND(项目基本情况!B11="自然人",项目基本情况!B10="北京市"),J6*M17/(1+'数据-取费表'!C42),J18+J19+J20),2)</f>
        <v>3.11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9510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190</v>
      </c>
      <c r="D20" s="323" t="s">
        <v>729</v>
      </c>
      <c r="E20" s="302" t="s">
        <v>712</v>
      </c>
      <c r="F20" s="322">
        <f>'数据-取费表'!B37</f>
        <v>0.02</v>
      </c>
      <c r="G20" s="1396"/>
      <c r="H20" s="982" t="s">
        <v>680</v>
      </c>
      <c r="I20" s="155" t="s">
        <v>730</v>
      </c>
      <c r="J20" s="22">
        <f ca="1">ROUND(M20*M21/10000,2)</f>
        <v>3.11</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10358.120000000001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130.63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-134</v>
      </c>
      <c r="K25" s="1095" t="s">
        <v>753</v>
      </c>
      <c r="L25" s="1096"/>
      <c r="M25" s="1097"/>
    </row>
    <row r="26" spans="1:37">
      <c r="A26" s="982" t="s">
        <v>397</v>
      </c>
      <c r="B26" s="302" t="s">
        <v>754</v>
      </c>
      <c r="C26" s="21">
        <f ca="1">ROUND((C19+C20)*F26,0)</f>
        <v>1940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13063</v>
      </c>
      <c r="D29" s="1092"/>
      <c r="E29" s="1090"/>
      <c r="F29" s="1093"/>
      <c r="G29" s="1396"/>
      <c r="H29" s="334" t="s">
        <v>396</v>
      </c>
      <c r="I29" s="335" t="s">
        <v>768</v>
      </c>
      <c r="J29" s="336">
        <f ca="1">ROUND(J26/(1+F40)^F41,0)</f>
        <v>0</v>
      </c>
      <c r="K29" s="337" t="s">
        <v>769</v>
      </c>
      <c r="L29" s="338"/>
      <c r="M29" s="339">
        <f ca="1">INDIRECT("'数据-取费表'!k"&amp;$G$1)</f>
        <v>19397.46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1056</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859.98</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IF(项目基本情况!B11="自然人","——",ROUND(C6*F32/(1+'数据-取费表'!C42),2))</f>
        <v>272.64</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584.23</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3.11</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10358.120000000001</v>
      </c>
      <c r="G35" s="1384"/>
      <c r="H35" s="2693"/>
      <c r="I35" s="1398"/>
      <c r="J35" s="1399"/>
      <c r="K35" s="2697"/>
      <c r="L35" s="2696"/>
      <c r="M35" s="2696"/>
    </row>
    <row r="36" spans="1:18" ht="18" customHeight="1">
      <c r="A36" s="1102" t="s">
        <v>402</v>
      </c>
      <c r="B36" s="302" t="s">
        <v>738</v>
      </c>
      <c r="C36" s="21">
        <f ca="1">ROUND(C29*F36,2)</f>
        <v>130.63</v>
      </c>
      <c r="D36" s="1344" t="s">
        <v>771</v>
      </c>
      <c r="E36" s="302" t="s">
        <v>712</v>
      </c>
      <c r="F36" s="328">
        <f ca="1">INDIRECT("'数据-取费表'!Ak"&amp;$G$1)</f>
        <v>0.01</v>
      </c>
      <c r="G36" s="1384"/>
      <c r="H36" s="2696"/>
      <c r="I36" s="1398"/>
      <c r="J36" s="1399"/>
      <c r="K36" s="2541"/>
      <c r="L36" s="2696"/>
      <c r="M36" s="2696"/>
    </row>
    <row r="37" spans="1:18" ht="18" customHeight="1">
      <c r="A37" s="982" t="s">
        <v>437</v>
      </c>
      <c r="B37" s="302" t="s">
        <v>742</v>
      </c>
      <c r="C37" s="21">
        <f ca="1">ROUND(C13*F37,2)</f>
        <v>13.91</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ROUND(C5*F38,2)</f>
        <v>51.18</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4062</v>
      </c>
      <c r="D39" s="1095" t="s">
        <v>773</v>
      </c>
      <c r="E39" s="1096"/>
      <c r="F39" s="1097"/>
      <c r="G39" s="1384"/>
      <c r="H39" s="2696"/>
      <c r="I39" s="1398"/>
      <c r="J39" s="1399"/>
      <c r="K39" s="2700"/>
      <c r="L39" s="2696"/>
      <c r="M39" s="2696"/>
    </row>
    <row r="40" spans="1:18" ht="18" customHeight="1">
      <c r="A40" s="299" t="s">
        <v>395</v>
      </c>
      <c r="B40" s="300" t="s">
        <v>774</v>
      </c>
      <c r="C40" s="301">
        <f ca="1">ROUND(C39*(1-((1+F42)/(1+F40))^F41)/(F40-F42),0)</f>
        <v>52742</v>
      </c>
      <c r="D40" s="324" t="s">
        <v>758</v>
      </c>
      <c r="E40" s="302" t="s">
        <v>759</v>
      </c>
      <c r="F40" s="312">
        <f ca="1">INDIRECT("'数据-取费表'!I"&amp;$G$1)</f>
        <v>0.06</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17.190000000000001</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27190</v>
      </c>
      <c r="D43" s="337" t="s">
        <v>777</v>
      </c>
      <c r="E43" s="338" t="s">
        <v>778</v>
      </c>
      <c r="F43" s="339">
        <f ca="1">INDIRECT("'数据-取费表'!k"&amp;$G$1)</f>
        <v>19397.46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-54303</v>
      </c>
      <c r="D46" s="1406" t="str">
        <f>C2</f>
        <v>万元</v>
      </c>
      <c r="E46" s="1400"/>
      <c r="F46" s="1400"/>
      <c r="I46" s="1407" t="s">
        <v>810</v>
      </c>
      <c r="J46" s="1408"/>
      <c r="K46" s="1409"/>
      <c r="L46" s="1410">
        <f ca="1">IF(M47="住宅",0,IF(L48&gt;J51,L60,J60))</f>
        <v>1507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40</v>
      </c>
      <c r="M47" s="1380" t="str">
        <f>IF(ISNUMBER(FIND("住宅",C1)),"住宅","非住宅")</f>
        <v>非住宅</v>
      </c>
      <c r="O47" s="1418" t="s">
        <v>403</v>
      </c>
      <c r="P47" s="1419" t="s">
        <v>817</v>
      </c>
      <c r="Q47" s="1420">
        <f ca="1">C40+J29</f>
        <v>52742</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17.190000000000001</v>
      </c>
      <c r="O48" s="1418" t="s">
        <v>404</v>
      </c>
      <c r="P48" s="1419" t="s">
        <v>821</v>
      </c>
      <c r="Q48" s="1420">
        <f ca="1">J60</f>
        <v>1507</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'数据-取费表'!N19</f>
        <v>2000</v>
      </c>
      <c r="K49" s="1423" t="s">
        <v>824</v>
      </c>
      <c r="L49" s="1427"/>
      <c r="O49" s="1428" t="s">
        <v>405</v>
      </c>
      <c r="P49" s="1419" t="s">
        <v>825</v>
      </c>
      <c r="Q49" s="1420">
        <f ca="1">C29</f>
        <v>13063</v>
      </c>
      <c r="R49" s="1420" t="s">
        <v>818</v>
      </c>
    </row>
    <row r="50" spans="1:18" s="1384" customFormat="1" ht="13.5" thickBot="1">
      <c r="A50" s="976"/>
      <c r="B50" s="979"/>
      <c r="C50" s="1118"/>
      <c r="D50" s="953"/>
      <c r="E50" s="1056" t="s">
        <v>697</v>
      </c>
      <c r="F50" s="1057">
        <f ca="1">F7</f>
        <v>19397.46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53491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17.190000000000001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17.190000000000001</v>
      </c>
      <c r="K53" s="3728" t="s">
        <v>837</v>
      </c>
      <c r="L53" s="3729"/>
      <c r="O53" s="1418" t="s">
        <v>409</v>
      </c>
      <c r="P53" s="1419" t="s">
        <v>838</v>
      </c>
      <c r="Q53" s="1420">
        <f ca="1">Q47+Q48</f>
        <v>54249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v>
      </c>
      <c r="K55" s="1445" t="s">
        <v>841</v>
      </c>
      <c r="L55" s="1446"/>
      <c r="O55" s="1411" t="s">
        <v>811</v>
      </c>
      <c r="P55" s="1412" t="s">
        <v>812</v>
      </c>
      <c r="Q55" s="1413" t="s">
        <v>813</v>
      </c>
      <c r="R55" s="1413" t="s">
        <v>814</v>
      </c>
    </row>
    <row r="56" spans="1:18" s="1384" customFormat="1" ht="25.5" thickTop="1" thickBot="1">
      <c r="A56" s="957">
        <v>2</v>
      </c>
      <c r="B56" s="958" t="s">
        <v>704</v>
      </c>
      <c r="C56" s="232">
        <f ca="1">C13</f>
        <v>9275</v>
      </c>
      <c r="D56" s="1447"/>
      <c r="E56" s="1448"/>
      <c r="F56" s="1440"/>
      <c r="I56" s="1449" t="s">
        <v>842</v>
      </c>
      <c r="J56" s="1450" t="s">
        <v>3420</v>
      </c>
      <c r="K56" s="1421" t="s">
        <v>843</v>
      </c>
      <c r="L56" s="1424" t="str">
        <f ca="1">IF(L48&lt;J51,"——",L48-J53)</f>
        <v>——</v>
      </c>
      <c r="O56" s="1418" t="s">
        <v>403</v>
      </c>
      <c r="P56" s="1419" t="s">
        <v>817</v>
      </c>
      <c r="Q56" s="1420">
        <f ca="1">C40+J29</f>
        <v>52742</v>
      </c>
      <c r="R56" s="1420" t="s">
        <v>818</v>
      </c>
    </row>
    <row r="57" spans="1:18" s="1384" customFormat="1" ht="24.75" thickBot="1">
      <c r="A57" s="1451"/>
      <c r="B57" s="950" t="s">
        <v>767</v>
      </c>
      <c r="C57" s="238">
        <f ca="1">C29</f>
        <v>13063</v>
      </c>
      <c r="D57" s="1452"/>
      <c r="E57" s="1453"/>
      <c r="F57" s="1454"/>
      <c r="I57" s="1455" t="s">
        <v>844</v>
      </c>
      <c r="J57" s="1456">
        <f ca="1">IF(OR(M47="住宅",J51&lt;L48,J56="是"),"——",J51-L48)</f>
        <v>19.809999999999999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5225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1507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3.11</v>
      </c>
      <c r="D62" s="965" t="s">
        <v>786</v>
      </c>
      <c r="E62" s="950" t="s">
        <v>787</v>
      </c>
      <c r="F62" s="325">
        <f t="shared" si="0"/>
        <v>3</v>
      </c>
      <c r="I62" s="1462" t="s">
        <v>858</v>
      </c>
      <c r="J62" s="1463" t="s">
        <v>859</v>
      </c>
      <c r="K62" s="1463" t="s">
        <v>860</v>
      </c>
      <c r="L62" s="1463" t="s">
        <v>861</v>
      </c>
      <c r="M62" s="1464" t="s">
        <v>862</v>
      </c>
      <c r="O62" s="1418" t="s">
        <v>409</v>
      </c>
      <c r="P62" s="1419" t="s">
        <v>863</v>
      </c>
      <c r="Q62" s="1420">
        <f ca="1">Q56+Q57</f>
        <v>52742</v>
      </c>
      <c r="R62" s="1420" t="s">
        <v>410</v>
      </c>
    </row>
    <row r="63" spans="1:18" s="1384" customFormat="1" ht="13.5" thickBot="1">
      <c r="A63" s="326"/>
      <c r="B63" s="956"/>
      <c r="C63" s="26"/>
      <c r="D63" s="966"/>
      <c r="E63" s="950" t="s">
        <v>788</v>
      </c>
      <c r="F63" s="303">
        <f t="shared" ca="1" si="0"/>
        <v>10358.120000000001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130.63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13.91</v>
      </c>
      <c r="D65" s="964" t="s">
        <v>743</v>
      </c>
      <c r="E65" s="950" t="s">
        <v>744</v>
      </c>
      <c r="F65" s="330">
        <f t="shared" ca="1" si="0"/>
        <v>1.5E-3</v>
      </c>
      <c r="I65" s="1462" t="s">
        <v>867</v>
      </c>
      <c r="J65" s="1463">
        <v>40</v>
      </c>
      <c r="K65" s="1463">
        <v>30</v>
      </c>
      <c r="L65" s="1463">
        <v>50</v>
      </c>
      <c r="M65" s="1465">
        <v>0.02</v>
      </c>
      <c r="O65" s="1418" t="s">
        <v>403</v>
      </c>
      <c r="P65" s="1419" t="s">
        <v>868</v>
      </c>
      <c r="Q65" s="1420">
        <f ca="1">C40+J29</f>
        <v>52742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-148</v>
      </c>
      <c r="D67" s="963" t="s">
        <v>753</v>
      </c>
      <c r="E67" s="968"/>
      <c r="F67" s="969"/>
      <c r="O67" s="1428" t="s">
        <v>405</v>
      </c>
      <c r="P67" s="1419" t="s">
        <v>850</v>
      </c>
      <c r="Q67" s="1466">
        <f ca="1">L51</f>
        <v>53491</v>
      </c>
      <c r="R67" s="1420" t="s">
        <v>870</v>
      </c>
    </row>
    <row r="68" spans="1:18" s="1384" customFormat="1" ht="16.5" thickBot="1">
      <c r="A68" s="947" t="s">
        <v>395</v>
      </c>
      <c r="B68" s="948" t="s">
        <v>774</v>
      </c>
      <c r="C68" s="301">
        <f ca="1">ROUND(C67*(1-((1+F70)/(1+F68))^F69)/(F68-F70),0)</f>
        <v>-1561</v>
      </c>
      <c r="D68" s="965" t="s">
        <v>758</v>
      </c>
      <c r="E68" s="950" t="s">
        <v>759</v>
      </c>
      <c r="F68" s="312">
        <f ca="1">F40</f>
        <v>0.06</v>
      </c>
      <c r="O68" s="1428" t="s">
        <v>406</v>
      </c>
      <c r="P68" s="1467" t="s">
        <v>871</v>
      </c>
      <c r="Q68" s="1420">
        <f ca="1">ROUND(Q69-Q70*Q71,0)</f>
        <v>3413</v>
      </c>
      <c r="R68" s="1420" t="s">
        <v>414</v>
      </c>
    </row>
    <row r="69" spans="1:18" s="1384" customFormat="1" ht="13.5" thickBot="1">
      <c r="A69" s="951"/>
      <c r="B69" s="952"/>
      <c r="C69" s="306"/>
      <c r="D69" s="970" t="s">
        <v>762</v>
      </c>
      <c r="E69" s="950" t="s">
        <v>763</v>
      </c>
      <c r="F69" s="333">
        <f ca="1">F41</f>
        <v>17.190000000000001</v>
      </c>
      <c r="O69" s="1428" t="s">
        <v>411</v>
      </c>
      <c r="P69" s="1467" t="s">
        <v>872</v>
      </c>
      <c r="Q69" s="1420">
        <f ca="1">C39</f>
        <v>4062</v>
      </c>
      <c r="R69" s="1420" t="s">
        <v>818</v>
      </c>
    </row>
    <row r="70" spans="1:18" s="1384" customFormat="1" ht="13.5" thickBot="1">
      <c r="A70" s="954"/>
      <c r="B70" s="955"/>
      <c r="C70" s="310"/>
      <c r="D70" s="966"/>
      <c r="E70" s="950" t="s">
        <v>766</v>
      </c>
      <c r="F70" s="1054"/>
      <c r="O70" s="1428" t="s">
        <v>412</v>
      </c>
      <c r="P70" s="1467" t="s">
        <v>873</v>
      </c>
      <c r="Q70" s="1420">
        <f ca="1">C13</f>
        <v>9275</v>
      </c>
      <c r="R70" s="1420" t="s">
        <v>818</v>
      </c>
    </row>
    <row r="71" spans="1:18" s="1384" customFormat="1" ht="13.5" thickBot="1">
      <c r="A71" s="971" t="s">
        <v>396</v>
      </c>
      <c r="B71" s="972" t="s">
        <v>776</v>
      </c>
      <c r="C71" s="336">
        <f ca="1">ROUND(C68*10000/F71,0)</f>
        <v>-805</v>
      </c>
      <c r="D71" s="973" t="s">
        <v>777</v>
      </c>
      <c r="E71" s="974" t="s">
        <v>778</v>
      </c>
      <c r="F71" s="339">
        <f ca="1">F43</f>
        <v>19397.46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649</v>
      </c>
      <c r="D75" s="1384"/>
      <c r="E75" s="1384"/>
      <c r="F75" s="1384"/>
      <c r="K75" s="1402"/>
      <c r="L75" s="1384"/>
      <c r="O75" s="1418" t="s">
        <v>409</v>
      </c>
      <c r="P75" s="1419" t="s">
        <v>838</v>
      </c>
      <c r="Q75" s="1420">
        <f ca="1">Q65+Q66</f>
        <v>52742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v>
      </c>
    </row>
    <row r="80" spans="1:18">
      <c r="B80" s="340" t="s">
        <v>800</v>
      </c>
      <c r="C80" s="274">
        <f ca="1">ROUND(C75/C39,3)</f>
        <v>0.16</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0" t="s">
        <v>694</v>
      </c>
      <c r="C6" s="1074">
        <f ca="1">ROUND(F6*F8*F7*(1-F9),0)</f>
        <v>0</v>
      </c>
      <c r="D6" s="155" t="s">
        <v>2105</v>
      </c>
      <c r="E6" s="302" t="s">
        <v>696</v>
      </c>
      <c r="F6" s="303">
        <f ca="1">INDIRECT("'数据-取费表'!u"&amp;$G$1)</f>
        <v>0</v>
      </c>
      <c r="G6" s="1384"/>
      <c r="H6" s="1069" t="s">
        <v>398</v>
      </c>
      <c r="I6" s="3730" t="s">
        <v>694</v>
      </c>
      <c r="J6" s="301">
        <f ca="1">ROUND(M6*M8*M7*(1-M9),0)</f>
        <v>0</v>
      </c>
      <c r="K6" s="1376" t="s">
        <v>2106</v>
      </c>
      <c r="L6" s="302" t="s">
        <v>696</v>
      </c>
      <c r="M6" s="303">
        <f ca="1">INDIRECT("'数据-取费表'!z"&amp;$G$1)</f>
        <v>0</v>
      </c>
    </row>
    <row r="7" spans="1:37" ht="18" customHeight="1">
      <c r="A7" s="1073"/>
      <c r="B7" s="3731"/>
      <c r="C7" s="1075"/>
      <c r="D7" s="307"/>
      <c r="E7" s="1076" t="s">
        <v>697</v>
      </c>
      <c r="F7" s="303">
        <f ca="1">IF(INDIRECT("'数据-取费表'!ah"&amp;$G$1)="",INDIRECT("'数据-取费表'!k"&amp;$G$1),INDIRECT("'数据-取费表'!ah"&amp;$G$1))</f>
        <v>0</v>
      </c>
      <c r="G7" s="1384"/>
      <c r="H7" s="304"/>
      <c r="I7" s="3731"/>
      <c r="J7" s="306"/>
      <c r="K7" s="307"/>
      <c r="L7" s="302" t="s">
        <v>697</v>
      </c>
      <c r="M7" s="303">
        <f ca="1">F7</f>
        <v>0</v>
      </c>
    </row>
    <row r="8" spans="1:37" ht="18" customHeight="1">
      <c r="A8" s="304"/>
      <c r="B8" s="3731"/>
      <c r="C8" s="306"/>
      <c r="D8" s="307"/>
      <c r="E8" s="302" t="s">
        <v>698</v>
      </c>
      <c r="F8" s="303">
        <f ca="1">INDIRECT("'数据-取费表'!ai"&amp;$G$1)</f>
        <v>0</v>
      </c>
      <c r="G8" s="1384"/>
      <c r="H8" s="304"/>
      <c r="I8" s="3731"/>
      <c r="J8" s="306"/>
      <c r="K8" s="307"/>
      <c r="L8" s="302" t="s">
        <v>698</v>
      </c>
      <c r="M8" s="303">
        <f ca="1">INDIRECT("'数据-取费表'!ai"&amp;$G$1)</f>
        <v>0</v>
      </c>
    </row>
    <row r="9" spans="1:37" ht="18" customHeight="1">
      <c r="A9" s="304"/>
      <c r="B9" s="3732"/>
      <c r="C9" s="306"/>
      <c r="D9" s="307"/>
      <c r="E9" s="302" t="s">
        <v>699</v>
      </c>
      <c r="F9" s="312">
        <f ca="1">INDIRECT("'数据-取费表'!w"&amp;$G$1)</f>
        <v>0</v>
      </c>
      <c r="G9" s="1384"/>
      <c r="H9" s="304"/>
      <c r="I9" s="373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t="e">
        <f ca="1">ROUND((C68-C40)/10000,4)</f>
        <v>#DIV/0!</v>
      </c>
      <c r="D45" s="3428" t="s">
        <v>3354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28" t="s">
        <v>837</v>
      </c>
      <c r="L53" s="372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5" t="s">
        <v>2313</v>
      </c>
      <c r="B2" s="2839" t="e">
        <f>IF(D2="——",C40,C40+E2)</f>
        <v>#DIV/0!</v>
      </c>
      <c r="C2" s="2840" t="s">
        <v>2314</v>
      </c>
      <c r="D2" s="3439" t="s">
        <v>3360</v>
      </c>
      <c r="E2" s="3440"/>
      <c r="F2" s="2842"/>
      <c r="G2" s="2843"/>
      <c r="H2" s="2844"/>
      <c r="I2" s="2845"/>
      <c r="J2" s="3739" t="s">
        <v>2315</v>
      </c>
      <c r="K2" s="3740"/>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41" t="s">
        <v>2325</v>
      </c>
      <c r="K3" s="3742"/>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41" t="s">
        <v>2327</v>
      </c>
      <c r="K4" s="3742"/>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47" t="s">
        <v>2331</v>
      </c>
      <c r="B6" s="3748"/>
      <c r="C6" s="3749"/>
      <c r="D6" s="2866"/>
      <c r="E6" s="2867"/>
      <c r="F6" s="2868"/>
      <c r="G6" s="2869"/>
      <c r="H6" s="2844"/>
      <c r="I6" s="2845"/>
      <c r="J6" s="3733">
        <v>1</v>
      </c>
      <c r="K6" s="3734"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33"/>
      <c r="K7" s="3735"/>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50" t="s">
        <v>2345</v>
      </c>
      <c r="C8" s="3751"/>
      <c r="D8" s="2885" t="s">
        <v>2346</v>
      </c>
      <c r="E8" s="2886" t="s">
        <v>2347</v>
      </c>
      <c r="F8" s="2887" t="s">
        <v>2348</v>
      </c>
      <c r="G8" s="2888"/>
      <c r="H8" s="2844"/>
      <c r="I8" s="2845"/>
      <c r="J8" s="3733"/>
      <c r="K8" s="3735"/>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50" t="s">
        <v>2351</v>
      </c>
      <c r="C9" s="3751"/>
      <c r="D9" s="2885">
        <f>ROUND(D6*E9,0)</f>
        <v>0</v>
      </c>
      <c r="E9" s="2889"/>
      <c r="F9" s="2890" t="s">
        <v>2352</v>
      </c>
      <c r="G9" s="2869"/>
      <c r="H9" s="2844"/>
      <c r="I9" s="2845"/>
      <c r="J9" s="3733"/>
      <c r="K9" s="3735"/>
      <c r="L9" s="2879" t="s">
        <v>2353</v>
      </c>
      <c r="M9" s="2880"/>
      <c r="N9" s="2856"/>
      <c r="O9" s="2881"/>
      <c r="P9" s="2881"/>
      <c r="Q9" s="2882">
        <v>365</v>
      </c>
      <c r="R9" s="2883">
        <f t="shared" si="0"/>
        <v>0</v>
      </c>
      <c r="S9" s="2837"/>
      <c r="T9" s="2837"/>
      <c r="U9" s="2837"/>
      <c r="V9" s="2845"/>
    </row>
    <row r="10" spans="1:22" s="2849" customFormat="1" ht="13.15" customHeight="1">
      <c r="A10" s="2884">
        <v>2</v>
      </c>
      <c r="B10" s="3750" t="s">
        <v>2354</v>
      </c>
      <c r="C10" s="3751"/>
      <c r="D10" s="2885">
        <f>ROUND(D6*E10,0)</f>
        <v>0</v>
      </c>
      <c r="E10" s="2889"/>
      <c r="F10" s="2890" t="s">
        <v>2355</v>
      </c>
      <c r="G10" s="2869"/>
      <c r="H10" s="2844"/>
      <c r="I10" s="2845"/>
      <c r="J10" s="3733"/>
      <c r="K10" s="3735"/>
      <c r="L10" s="2879" t="s">
        <v>2356</v>
      </c>
      <c r="M10" s="2880"/>
      <c r="N10" s="2856"/>
      <c r="O10" s="2881"/>
      <c r="P10" s="2881"/>
      <c r="Q10" s="2882">
        <v>365</v>
      </c>
      <c r="R10" s="2883">
        <f t="shared" si="0"/>
        <v>0</v>
      </c>
      <c r="S10" s="2837"/>
      <c r="T10" s="2837"/>
      <c r="U10" s="2837"/>
      <c r="V10" s="2845"/>
    </row>
    <row r="11" spans="1:22" s="2849" customFormat="1" ht="13.15" customHeight="1">
      <c r="A11" s="2884">
        <v>3</v>
      </c>
      <c r="B11" s="3750" t="s">
        <v>2357</v>
      </c>
      <c r="C11" s="3751"/>
      <c r="D11" s="2885">
        <f>D12+D14+D15+D16</f>
        <v>0</v>
      </c>
      <c r="E11" s="2891" t="e">
        <f>D11/D6</f>
        <v>#DIV/0!</v>
      </c>
      <c r="F11" s="2887"/>
      <c r="G11" s="2888"/>
      <c r="H11" s="2844"/>
      <c r="I11" s="2845"/>
      <c r="J11" s="3733"/>
      <c r="K11" s="3735"/>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43" t="s">
        <v>2360</v>
      </c>
      <c r="C12" s="3744"/>
      <c r="D12" s="2893">
        <f>ROUND(D13*1.2%*(1-30%),0)</f>
        <v>0</v>
      </c>
      <c r="E12" s="2894">
        <v>1.2E-2</v>
      </c>
      <c r="F12" s="2887" t="s">
        <v>2361</v>
      </c>
      <c r="G12" s="2888"/>
      <c r="H12" s="2844"/>
      <c r="I12" s="2845"/>
      <c r="J12" s="3733"/>
      <c r="K12" s="3735"/>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33"/>
      <c r="K13" s="3735"/>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43" t="s">
        <v>2366</v>
      </c>
      <c r="C14" s="3744"/>
      <c r="D14" s="2893">
        <f>ROUND(E14*B5/10000,0)</f>
        <v>0</v>
      </c>
      <c r="E14" s="2882"/>
      <c r="F14" s="2887" t="s">
        <v>2367</v>
      </c>
      <c r="G14" s="2888"/>
      <c r="H14" s="2844"/>
      <c r="I14" s="2845"/>
      <c r="J14" s="3733"/>
      <c r="K14" s="3736"/>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43" t="s">
        <v>2370</v>
      </c>
      <c r="C15" s="3744"/>
      <c r="D15" s="2893">
        <f>ROUND(D6*E15,0)</f>
        <v>0</v>
      </c>
      <c r="E15" s="2894">
        <v>5.5E-2</v>
      </c>
      <c r="F15" s="2887" t="s">
        <v>2371</v>
      </c>
      <c r="G15" s="2869"/>
      <c r="H15" s="2844"/>
      <c r="I15" s="2845"/>
      <c r="J15" s="3733">
        <v>2</v>
      </c>
      <c r="K15" s="3734"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43" t="s">
        <v>2379</v>
      </c>
      <c r="C16" s="3744"/>
      <c r="D16" s="2904">
        <f>D6*E16</f>
        <v>0</v>
      </c>
      <c r="E16" s="2905"/>
      <c r="F16" s="2890" t="s">
        <v>2380</v>
      </c>
      <c r="G16" s="2869"/>
      <c r="H16" s="2844"/>
      <c r="I16" s="2845"/>
      <c r="J16" s="3733"/>
      <c r="K16" s="3735"/>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45" t="s">
        <v>2382</v>
      </c>
      <c r="C17" s="3746"/>
      <c r="D17" s="2907">
        <f>ROUND(D6*E17,0)</f>
        <v>0</v>
      </c>
      <c r="E17" s="2908"/>
      <c r="F17" s="2909" t="s">
        <v>2383</v>
      </c>
      <c r="G17" s="2869"/>
      <c r="H17" s="2844"/>
      <c r="I17" s="2845"/>
      <c r="J17" s="3733"/>
      <c r="K17" s="3735"/>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33"/>
      <c r="K18" s="3735"/>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33"/>
      <c r="K19" s="3736"/>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33">
        <v>3</v>
      </c>
      <c r="K20" s="3734"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33"/>
      <c r="K21" s="3735"/>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33"/>
      <c r="K22" s="3735"/>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33"/>
      <c r="K23" s="3735"/>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33"/>
      <c r="K24" s="3736"/>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37">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3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39" t="s">
        <v>2315</v>
      </c>
      <c r="K32" s="3740"/>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41" t="s">
        <v>2325</v>
      </c>
      <c r="K33" s="3742"/>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41" t="s">
        <v>2327</v>
      </c>
      <c r="K34" s="374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33">
        <v>1</v>
      </c>
      <c r="K36" s="3734"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33"/>
      <c r="K37" s="3735"/>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33"/>
      <c r="K38" s="3735"/>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33"/>
      <c r="K39" s="3735"/>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33"/>
      <c r="K40" s="3736"/>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7">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3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54249</v>
      </c>
      <c r="C2" s="1872" t="s">
        <v>1651</v>
      </c>
      <c r="D2" s="1873" t="s">
        <v>1652</v>
      </c>
      <c r="E2" s="2604">
        <f>SUM(E6:E13)</f>
        <v>19397.46</v>
      </c>
      <c r="F2" s="2703"/>
      <c r="G2" s="1489"/>
      <c r="H2" s="1489"/>
      <c r="I2" s="1489"/>
      <c r="J2" s="1489"/>
      <c r="K2" s="1489"/>
      <c r="L2" s="1489"/>
      <c r="M2" s="1489"/>
      <c r="N2" s="1489"/>
      <c r="O2" s="1489"/>
      <c r="P2" s="1489"/>
      <c r="Q2" s="1489"/>
      <c r="R2" s="1489"/>
      <c r="S2" s="1489"/>
    </row>
    <row r="3" spans="1:22" ht="15.75">
      <c r="A3" s="1870" t="s">
        <v>686</v>
      </c>
      <c r="B3" s="2598">
        <f ca="1">ROUND(B2*10000/E2,0)</f>
        <v>27967</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52" t="s">
        <v>1654</v>
      </c>
      <c r="C5" s="3753"/>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54249</v>
      </c>
      <c r="C6" s="1872" t="s">
        <v>1651</v>
      </c>
      <c r="D6" s="2705"/>
      <c r="E6" s="2603">
        <f>IF(OR(A6=0,F6="否"),0,'数据-取费表'!K6+'数据-取费表'!S6)</f>
        <v>19397.46</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19397.46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1"/>
      <c r="M4" s="2712"/>
      <c r="N4" s="2712"/>
      <c r="O4" s="2712"/>
      <c r="P4" s="3682" t="s">
        <v>1672</v>
      </c>
      <c r="Q4" s="3683"/>
      <c r="R4" s="3688" t="s">
        <v>1668</v>
      </c>
      <c r="S4" s="3689"/>
      <c r="T4" s="3688" t="s">
        <v>1669</v>
      </c>
      <c r="U4" s="3689"/>
      <c r="V4" s="3673" t="s">
        <v>1670</v>
      </c>
      <c r="W4" s="3673"/>
      <c r="X4" s="1355"/>
      <c r="Y4" s="3688" t="s">
        <v>1672</v>
      </c>
      <c r="Z4" s="3689"/>
      <c r="AA4" s="3675" t="s">
        <v>1668</v>
      </c>
      <c r="AB4" s="3675" t="s">
        <v>1669</v>
      </c>
      <c r="AC4" s="3675" t="s">
        <v>1670</v>
      </c>
    </row>
    <row r="5" spans="1:29" ht="15">
      <c r="A5" s="358"/>
      <c r="B5" s="359"/>
      <c r="C5" s="3696" t="s">
        <v>1673</v>
      </c>
      <c r="D5" s="3697"/>
      <c r="E5" s="3704" t="s">
        <v>1674</v>
      </c>
      <c r="F5" s="3705"/>
      <c r="G5" s="3696" t="s">
        <v>1675</v>
      </c>
      <c r="H5" s="3697"/>
      <c r="I5" s="3696" t="s">
        <v>1676</v>
      </c>
      <c r="J5" s="3697"/>
      <c r="K5" s="1890"/>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1890"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98" t="s">
        <v>1680</v>
      </c>
      <c r="Q7" s="3700"/>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4"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4"/>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4"/>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4"/>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4"/>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4"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65"/>
      <c r="Q16" s="1352"/>
      <c r="R16" s="705"/>
      <c r="S16" s="706"/>
      <c r="T16" s="705"/>
      <c r="U16" s="706"/>
      <c r="V16" s="705"/>
      <c r="W16" s="706"/>
      <c r="X16" s="1355"/>
      <c r="Y16" s="366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65"/>
      <c r="Q18" s="1352"/>
      <c r="R18" s="705"/>
      <c r="S18" s="706"/>
      <c r="T18" s="705"/>
      <c r="U18" s="706"/>
      <c r="V18" s="705"/>
      <c r="W18" s="706"/>
      <c r="X18" s="1355"/>
      <c r="Y18" s="366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65"/>
      <c r="Q20" s="1352"/>
      <c r="R20" s="705"/>
      <c r="S20" s="706"/>
      <c r="T20" s="705"/>
      <c r="U20" s="706"/>
      <c r="V20" s="705"/>
      <c r="W20" s="706"/>
      <c r="X20" s="1355"/>
      <c r="Y20" s="366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65"/>
      <c r="Q22" s="1352"/>
      <c r="R22" s="705"/>
      <c r="S22" s="706"/>
      <c r="T22" s="705"/>
      <c r="U22" s="706"/>
      <c r="V22" s="705"/>
      <c r="W22" s="706"/>
      <c r="X22" s="1355"/>
      <c r="Y22" s="366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65"/>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0"/>
      <c r="M48" s="2721"/>
      <c r="N48" s="2721"/>
      <c r="O48" s="2721"/>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受贵公司委托，我公司对北京市海淀区远大园六区部分商业用房房地产抵押价值进行了预评估。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远大园六区部分商业用房房地产，为北京市四季青农工商总公司所有。根据《国有土地使用证》[]，估价对象（分摊）出让国有建设用地使用权面积为10358.12平方米，建筑面积为19397.46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19397.46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760" t="s">
        <v>1775</v>
      </c>
      <c r="Q4" s="3761"/>
      <c r="R4" s="3764" t="s">
        <v>1771</v>
      </c>
      <c r="S4" s="3765"/>
      <c r="T4" s="3764" t="s">
        <v>1772</v>
      </c>
      <c r="U4" s="3765"/>
      <c r="V4" s="3766" t="s">
        <v>1773</v>
      </c>
      <c r="W4" s="3766"/>
      <c r="X4" s="1958"/>
      <c r="Y4" s="3764" t="s">
        <v>1775</v>
      </c>
      <c r="Z4" s="3765"/>
      <c r="AA4" s="3768" t="s">
        <v>1771</v>
      </c>
      <c r="AB4" s="3768" t="s">
        <v>1772</v>
      </c>
      <c r="AC4" s="3757" t="s">
        <v>1773</v>
      </c>
    </row>
    <row r="5" spans="1:29" ht="15">
      <c r="A5" s="358"/>
      <c r="B5" s="359"/>
      <c r="C5" s="3696" t="s">
        <v>1673</v>
      </c>
      <c r="D5" s="3697"/>
      <c r="E5" s="3704" t="s">
        <v>1674</v>
      </c>
      <c r="F5" s="3705"/>
      <c r="G5" s="3696" t="s">
        <v>1675</v>
      </c>
      <c r="H5" s="3697"/>
      <c r="I5" s="3696" t="s">
        <v>1676</v>
      </c>
      <c r="J5" s="3697"/>
      <c r="K5" s="559"/>
      <c r="L5" s="2711"/>
      <c r="M5" s="2712"/>
      <c r="N5" s="2712"/>
      <c r="O5" s="2712"/>
      <c r="P5" s="3762"/>
      <c r="Q5" s="3685"/>
      <c r="R5" s="3690"/>
      <c r="S5" s="3691"/>
      <c r="T5" s="3690"/>
      <c r="U5" s="3691"/>
      <c r="V5" s="3673"/>
      <c r="W5" s="3673"/>
      <c r="X5" s="1355"/>
      <c r="Y5" s="3690"/>
      <c r="Z5" s="3691"/>
      <c r="AA5" s="3676"/>
      <c r="AB5" s="3676"/>
      <c r="AC5" s="3758"/>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763"/>
      <c r="Q6" s="3687"/>
      <c r="R6" s="3690"/>
      <c r="S6" s="3691"/>
      <c r="T6" s="3692"/>
      <c r="U6" s="3693"/>
      <c r="V6" s="3673"/>
      <c r="W6" s="3673"/>
      <c r="X6" s="1355"/>
      <c r="Y6" s="3692"/>
      <c r="Z6" s="3693"/>
      <c r="AA6" s="3677"/>
      <c r="AB6" s="3677"/>
      <c r="AC6" s="3759"/>
    </row>
    <row r="7" spans="1:29" s="108" customFormat="1" ht="15.7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7"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7"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4"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64"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665"/>
      <c r="Q16" s="1352"/>
      <c r="R16" s="705"/>
      <c r="S16" s="706"/>
      <c r="T16" s="705"/>
      <c r="U16" s="706"/>
      <c r="V16" s="705"/>
      <c r="W16" s="706"/>
      <c r="X16" s="1355"/>
      <c r="Y16" s="3667"/>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665"/>
      <c r="Q18" s="1352"/>
      <c r="R18" s="705"/>
      <c r="S18" s="706"/>
      <c r="T18" s="705"/>
      <c r="U18" s="706"/>
      <c r="V18" s="705"/>
      <c r="W18" s="706"/>
      <c r="X18" s="1355"/>
      <c r="Y18" s="3667"/>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665"/>
      <c r="Q20" s="1352"/>
      <c r="R20" s="705"/>
      <c r="S20" s="706"/>
      <c r="T20" s="705"/>
      <c r="U20" s="706"/>
      <c r="V20" s="705"/>
      <c r="W20" s="706"/>
      <c r="X20" s="1355"/>
      <c r="Y20" s="366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665"/>
      <c r="Q22" s="1352"/>
      <c r="R22" s="705"/>
      <c r="S22" s="706"/>
      <c r="T22" s="705"/>
      <c r="U22" s="706"/>
      <c r="V22" s="705"/>
      <c r="W22" s="706"/>
      <c r="X22" s="1355"/>
      <c r="Y22" s="3667"/>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665"/>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665"/>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5"/>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674" t="str">
        <f>A48</f>
        <v>成交单价（元/平方米）</v>
      </c>
      <c r="Q48" s="3659"/>
      <c r="R48" s="3660">
        <f>E48</f>
        <v>0</v>
      </c>
      <c r="S48" s="3660"/>
      <c r="T48" s="3660">
        <f>G48</f>
        <v>0</v>
      </c>
      <c r="U48" s="3660"/>
      <c r="V48" s="3660">
        <f>I48</f>
        <v>0</v>
      </c>
      <c r="W48" s="3660"/>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0"/>
      <c r="M49" s="2712"/>
      <c r="N49" s="2712"/>
      <c r="O49" s="2712"/>
      <c r="P49" s="367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19397.46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913"/>
      <c r="M5" s="914"/>
      <c r="N5" s="914"/>
      <c r="O5" s="914"/>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913"/>
      <c r="M6" s="914"/>
      <c r="N6" s="914"/>
      <c r="O6" s="914"/>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9"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67"/>
      <c r="Q15" s="1352"/>
      <c r="R15" s="705"/>
      <c r="S15" s="706"/>
      <c r="T15" s="705"/>
      <c r="U15" s="706"/>
      <c r="V15" s="705"/>
      <c r="W15" s="706"/>
      <c r="X15" s="1355"/>
      <c r="Y15" s="366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67"/>
      <c r="Q17" s="1352"/>
      <c r="R17" s="705"/>
      <c r="S17" s="706"/>
      <c r="T17" s="705"/>
      <c r="U17" s="706"/>
      <c r="V17" s="705"/>
      <c r="W17" s="706"/>
      <c r="X17" s="1355"/>
      <c r="Y17" s="366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67"/>
      <c r="Q19" s="1352"/>
      <c r="R19" s="705"/>
      <c r="S19" s="706"/>
      <c r="T19" s="705"/>
      <c r="U19" s="706"/>
      <c r="V19" s="705"/>
      <c r="W19" s="706"/>
      <c r="X19" s="1355"/>
      <c r="Y19" s="366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0"/>
      <c r="M37" s="2721"/>
      <c r="N37" s="2712"/>
      <c r="O37" s="2721"/>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0"/>
      <c r="M38" s="2721"/>
      <c r="N38" s="2721"/>
      <c r="O38" s="2721"/>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61" t="str">
        <f>A39</f>
        <v>估价对象XX用房的比较价值（楼面单价，元/平方米）</v>
      </c>
      <c r="Q39" s="3662"/>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9"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67"/>
      <c r="Q15" s="1352"/>
      <c r="R15" s="705"/>
      <c r="S15" s="706"/>
      <c r="T15" s="705"/>
      <c r="U15" s="706"/>
      <c r="V15" s="705"/>
      <c r="W15" s="706"/>
      <c r="X15" s="1355"/>
      <c r="Y15" s="366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67"/>
      <c r="Q17" s="1352"/>
      <c r="R17" s="705"/>
      <c r="S17" s="706"/>
      <c r="T17" s="705"/>
      <c r="U17" s="706"/>
      <c r="V17" s="705"/>
      <c r="W17" s="706"/>
      <c r="X17" s="1355"/>
      <c r="Y17" s="366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67"/>
      <c r="Q19" s="1352"/>
      <c r="R19" s="705"/>
      <c r="S19" s="706"/>
      <c r="T19" s="705"/>
      <c r="U19" s="706"/>
      <c r="V19" s="705"/>
      <c r="W19" s="706"/>
      <c r="X19" s="1355"/>
      <c r="Y19" s="366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0"/>
      <c r="M36" s="2721"/>
      <c r="N36" s="2712"/>
      <c r="O36" s="2721"/>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61" t="str">
        <f>A37</f>
        <v>估价对象XX用房的比较价值（楼面单价，元/平方米）</v>
      </c>
      <c r="Q37" s="3662"/>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30"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30"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7"/>
      <c r="AC6" s="3677"/>
    </row>
    <row r="7" spans="1:30" s="108" customFormat="1" ht="15.7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5"/>
      <c r="M10" s="2716"/>
      <c r="N10" s="2716"/>
      <c r="O10" s="2769"/>
      <c r="P10" s="3659"/>
      <c r="Q10" s="1343" t="str">
        <f t="shared" si="6"/>
        <v>土地使用年限（年）</v>
      </c>
      <c r="R10" s="701" t="s">
        <v>14</v>
      </c>
      <c r="S10" s="702">
        <f t="shared" si="0"/>
        <v>147</v>
      </c>
      <c r="T10" s="701" t="s">
        <v>14</v>
      </c>
      <c r="U10" s="702">
        <f t="shared" si="1"/>
        <v>147</v>
      </c>
      <c r="V10" s="701" t="s">
        <v>14</v>
      </c>
      <c r="W10" s="702">
        <f t="shared" si="2"/>
        <v>147</v>
      </c>
      <c r="X10" s="703"/>
      <c r="Y10" s="3560"/>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59"/>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67"/>
      <c r="Q16" s="1352"/>
      <c r="R16" s="705"/>
      <c r="S16" s="706"/>
      <c r="T16" s="705"/>
      <c r="U16" s="706"/>
      <c r="V16" s="705"/>
      <c r="W16" s="706"/>
      <c r="X16" s="1355"/>
      <c r="Y16" s="3667"/>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67"/>
      <c r="Q18" s="1352"/>
      <c r="R18" s="705"/>
      <c r="S18" s="706"/>
      <c r="T18" s="705"/>
      <c r="U18" s="706"/>
      <c r="V18" s="705"/>
      <c r="W18" s="706"/>
      <c r="X18" s="1355"/>
      <c r="Y18" s="366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67"/>
      <c r="Q20" s="1352"/>
      <c r="R20" s="705"/>
      <c r="S20" s="706"/>
      <c r="T20" s="705"/>
      <c r="U20" s="706"/>
      <c r="V20" s="705"/>
      <c r="W20" s="706"/>
      <c r="X20" s="1355"/>
      <c r="Y20" s="3667"/>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67"/>
      <c r="Q24" s="1352"/>
      <c r="R24" s="705"/>
      <c r="S24" s="706"/>
      <c r="T24" s="705"/>
      <c r="U24" s="706"/>
      <c r="V24" s="705"/>
      <c r="W24" s="706"/>
      <c r="X24" s="1355"/>
      <c r="Y24" s="3667"/>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67"/>
      <c r="Q26" s="1352"/>
      <c r="R26" s="705"/>
      <c r="S26" s="706"/>
      <c r="T26" s="705"/>
      <c r="U26" s="706"/>
      <c r="V26" s="705"/>
      <c r="W26" s="706"/>
      <c r="X26" s="1355"/>
      <c r="Y26" s="366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67"/>
      <c r="Q28" s="1343"/>
      <c r="R28" s="701"/>
      <c r="S28" s="702"/>
      <c r="T28" s="701"/>
      <c r="U28" s="702"/>
      <c r="V28" s="701"/>
      <c r="W28" s="702"/>
      <c r="X28" s="703"/>
      <c r="Y28" s="366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9"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59" t="str">
        <f>A46</f>
        <v>成交单价</v>
      </c>
      <c r="Q46" s="3659"/>
      <c r="R46" s="3673">
        <f>E46</f>
        <v>0</v>
      </c>
      <c r="S46" s="3673"/>
      <c r="T46" s="3673">
        <f>G46</f>
        <v>0</v>
      </c>
      <c r="U46" s="3673"/>
      <c r="V46" s="3673">
        <f>I46</f>
        <v>0</v>
      </c>
      <c r="W46" s="367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0"/>
      <c r="M47" s="2721"/>
      <c r="N47" s="2721"/>
      <c r="O47" s="2721"/>
      <c r="P47" s="3659" t="str">
        <f>A47</f>
        <v>比较价值（元/平方米）</v>
      </c>
      <c r="Q47" s="3659"/>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61" t="str">
        <f>A48</f>
        <v>估价对象XX用房的比较价值（楼面单价，元/平方米）</v>
      </c>
      <c r="Q48" s="3662"/>
      <c r="R48" s="3772" t="e">
        <f>ROUND(IF(D47="简单平均",AVERAGE(R47:W47),R47*F47+T47*H47+V47*J47),0)</f>
        <v>#DIV/0!</v>
      </c>
      <c r="S48" s="3772"/>
      <c r="T48" s="3772"/>
      <c r="U48" s="3772"/>
      <c r="V48" s="3772"/>
      <c r="W48" s="377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78" t="s">
        <v>1887</v>
      </c>
      <c r="H55" s="3773"/>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14135.59</v>
      </c>
      <c r="F56" s="886" t="e">
        <f t="shared" ref="F56:F64" si="15">ROUND(B56*E56/10000,0)</f>
        <v>#DIV/0!</v>
      </c>
      <c r="G56" s="3674"/>
      <c r="H56" s="365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四级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四级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四级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14135.59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774" t="s">
        <v>1919</v>
      </c>
      <c r="D6" s="3775"/>
      <c r="E6" s="3776" t="s">
        <v>1919</v>
      </c>
      <c r="F6" s="3777"/>
      <c r="G6" s="3774" t="s">
        <v>1919</v>
      </c>
      <c r="H6" s="3775"/>
      <c r="I6" s="3774" t="s">
        <v>1919</v>
      </c>
      <c r="J6" s="3775"/>
      <c r="K6" s="559"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5"/>
      <c r="M10" s="2716"/>
      <c r="N10" s="2716"/>
      <c r="O10" s="2769"/>
      <c r="P10" s="3659"/>
      <c r="Q10" s="1343" t="str">
        <f t="shared" si="6"/>
        <v>土地使用年限（年）</v>
      </c>
      <c r="R10" s="701" t="s">
        <v>14</v>
      </c>
      <c r="S10" s="702">
        <f t="shared" si="0"/>
        <v>147</v>
      </c>
      <c r="T10" s="701" t="s">
        <v>14</v>
      </c>
      <c r="U10" s="702">
        <f t="shared" si="1"/>
        <v>147</v>
      </c>
      <c r="V10" s="701" t="s">
        <v>14</v>
      </c>
      <c r="W10" s="702">
        <f t="shared" si="2"/>
        <v>147</v>
      </c>
      <c r="X10" s="703"/>
      <c r="Y10" s="3560"/>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9"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59" t="str">
        <f>A41</f>
        <v>成交单价</v>
      </c>
      <c r="Q41" s="3659"/>
      <c r="R41" s="3673">
        <f>E41</f>
        <v>0</v>
      </c>
      <c r="S41" s="3673"/>
      <c r="T41" s="3673">
        <f>G41</f>
        <v>0</v>
      </c>
      <c r="U41" s="3673"/>
      <c r="V41" s="3673">
        <f>I41</f>
        <v>0</v>
      </c>
      <c r="W41" s="367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0"/>
      <c r="M42" s="2712"/>
      <c r="N42" s="2712"/>
      <c r="O42" s="2721"/>
      <c r="P42" s="3659" t="str">
        <f>A42</f>
        <v>比较价值（元/平方米）</v>
      </c>
      <c r="Q42" s="3659"/>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61" t="str">
        <f>A43</f>
        <v>估价对象XX用房的比较价值（楼面单价，元/平方米）</v>
      </c>
      <c r="Q43" s="3662"/>
      <c r="R43" s="3772" t="e">
        <f>ROUND(IF(D42="简单平均",AVERAGE(R42:W42),R42*F42+T42*H42+V42*J42),0)</f>
        <v>#DIV/0!</v>
      </c>
      <c r="S43" s="3772"/>
      <c r="T43" s="3772"/>
      <c r="U43" s="3772"/>
      <c r="V43" s="3772"/>
      <c r="W43" s="377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78" t="s">
        <v>1887</v>
      </c>
      <c r="H50" s="3773"/>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14135.59</v>
      </c>
      <c r="F51" s="639" t="e">
        <f t="shared" ref="F51:F60" si="15">ROUND(B51*E51/10000,0)</f>
        <v>#DIV/0!</v>
      </c>
      <c r="G51" s="3674"/>
      <c r="H51" s="365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四级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四级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四级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10358.120000000001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33994</v>
      </c>
      <c r="C2" s="2145" t="s">
        <v>2074</v>
      </c>
      <c r="D2" s="2145" t="s">
        <v>2075</v>
      </c>
      <c r="E2" s="2609">
        <f ca="1">SUMIF(E6:E13,"&lt;&gt;#ref!",E6:E13)</f>
        <v>5261.87</v>
      </c>
      <c r="F2" s="2789"/>
      <c r="G2" s="2789"/>
      <c r="H2" s="2789"/>
      <c r="I2" s="2789"/>
      <c r="J2" s="2789"/>
      <c r="K2" s="2789"/>
      <c r="L2" s="2789"/>
      <c r="M2" s="2789"/>
      <c r="N2" s="2789"/>
      <c r="O2" s="2789"/>
      <c r="P2" s="2789"/>
    </row>
    <row r="3" spans="1:16" ht="15.75">
      <c r="A3" s="2145" t="s">
        <v>2076</v>
      </c>
      <c r="B3" s="2599">
        <f ca="1">ROUND(B2*10000/E2,0)</f>
        <v>64604</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33994</v>
      </c>
      <c r="C6" s="2145" t="s">
        <v>2074</v>
      </c>
      <c r="D6" s="2789"/>
      <c r="E6" s="2609">
        <f ca="1">SUMIF(INDIRECT("'"&amp;A6&amp;"'"&amp;"!C:C"),"建筑面积",INDIRECT("'"&amp;A6&amp;"'"&amp;"!D:D"))</f>
        <v>5261.87</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787" t="s">
        <v>2605</v>
      </c>
      <c r="B20" s="3782" t="s">
        <v>2626</v>
      </c>
      <c r="C20" s="3099" t="s">
        <v>2437</v>
      </c>
      <c r="D20" s="3100"/>
      <c r="E20" s="3101">
        <v>1</v>
      </c>
      <c r="F20" s="3102" t="s">
        <v>2438</v>
      </c>
      <c r="G20" s="3102"/>
    </row>
    <row r="21" spans="1:13" ht="19.5" customHeight="1">
      <c r="A21" s="3788"/>
      <c r="B21" s="3781"/>
      <c r="C21" s="3103" t="s">
        <v>2439</v>
      </c>
      <c r="D21" s="3104"/>
      <c r="E21" s="3105">
        <v>1</v>
      </c>
      <c r="F21" s="3102" t="s">
        <v>2440</v>
      </c>
      <c r="G21" s="3102"/>
    </row>
    <row r="22" spans="1:13" ht="19.5" customHeight="1">
      <c r="A22" s="3788"/>
      <c r="B22" s="3781"/>
      <c r="C22" s="3103" t="s">
        <v>2441</v>
      </c>
      <c r="D22" s="3104"/>
      <c r="E22" s="3105">
        <v>0.9</v>
      </c>
      <c r="F22" s="3102" t="s">
        <v>2442</v>
      </c>
      <c r="G22" s="3102"/>
    </row>
    <row r="23" spans="1:13" ht="19.5" customHeight="1">
      <c r="A23" s="3788"/>
      <c r="B23" s="3781"/>
      <c r="C23" s="3103" t="s">
        <v>2443</v>
      </c>
      <c r="D23" s="3104"/>
      <c r="E23" s="3105">
        <v>0.9</v>
      </c>
      <c r="F23" s="3102" t="s">
        <v>2444</v>
      </c>
      <c r="G23" s="3102"/>
    </row>
    <row r="24" spans="1:13" ht="19.5" customHeight="1">
      <c r="A24" s="3788"/>
      <c r="B24" s="3781"/>
      <c r="C24" s="3103" t="s">
        <v>2445</v>
      </c>
      <c r="D24" s="3104"/>
      <c r="E24" s="3105">
        <v>0.8</v>
      </c>
      <c r="F24" s="3102" t="s">
        <v>2446</v>
      </c>
      <c r="G24" s="3102"/>
    </row>
    <row r="25" spans="1:13" ht="19.5" customHeight="1" thickBot="1">
      <c r="A25" s="3789"/>
      <c r="B25" s="3783"/>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784" t="s">
        <v>2629</v>
      </c>
      <c r="B27" s="3782" t="s">
        <v>2610</v>
      </c>
      <c r="C27" s="3099" t="s">
        <v>2450</v>
      </c>
      <c r="D27" s="3100"/>
      <c r="E27" s="3101">
        <v>1</v>
      </c>
      <c r="F27" s="3102" t="s">
        <v>2451</v>
      </c>
      <c r="G27" s="3102"/>
    </row>
    <row r="28" spans="1:13" ht="19.5" customHeight="1">
      <c r="A28" s="3785"/>
      <c r="B28" s="3781"/>
      <c r="C28" s="3103" t="s">
        <v>2452</v>
      </c>
      <c r="D28" s="3104"/>
      <c r="E28" s="3105">
        <v>1</v>
      </c>
      <c r="F28" s="3102" t="s">
        <v>2453</v>
      </c>
      <c r="G28" s="3102"/>
    </row>
    <row r="29" spans="1:13" ht="19.5" customHeight="1">
      <c r="A29" s="3785"/>
      <c r="B29" s="3781"/>
      <c r="C29" s="3103" t="s">
        <v>2454</v>
      </c>
      <c r="D29" s="3104"/>
      <c r="E29" s="3105">
        <v>0.8</v>
      </c>
      <c r="F29" s="3102" t="s">
        <v>2455</v>
      </c>
      <c r="G29" s="3102"/>
    </row>
    <row r="30" spans="1:13" ht="19.5" customHeight="1">
      <c r="A30" s="3785"/>
      <c r="B30" s="3781"/>
      <c r="C30" s="3103" t="s">
        <v>2456</v>
      </c>
      <c r="D30" s="3104"/>
      <c r="E30" s="3105">
        <v>0.8</v>
      </c>
      <c r="F30" s="3102" t="s">
        <v>2457</v>
      </c>
      <c r="G30" s="3102"/>
    </row>
    <row r="31" spans="1:13" ht="19.5" customHeight="1">
      <c r="A31" s="3785"/>
      <c r="B31" s="3781"/>
      <c r="C31" s="3103" t="s">
        <v>2458</v>
      </c>
      <c r="D31" s="3104"/>
      <c r="E31" s="3105">
        <v>0.8</v>
      </c>
      <c r="F31" s="3102" t="s">
        <v>2459</v>
      </c>
      <c r="G31" s="3102"/>
    </row>
    <row r="32" spans="1:13" ht="19.5" customHeight="1">
      <c r="A32" s="3785"/>
      <c r="B32" s="3781"/>
      <c r="C32" s="3103" t="s">
        <v>2460</v>
      </c>
      <c r="D32" s="3104"/>
      <c r="E32" s="3105">
        <v>0.7</v>
      </c>
      <c r="F32" s="3102" t="s">
        <v>2461</v>
      </c>
      <c r="G32" s="3102"/>
    </row>
    <row r="33" spans="1:7" ht="19.5" customHeight="1">
      <c r="A33" s="3785"/>
      <c r="B33" s="3781"/>
      <c r="C33" s="3103" t="s">
        <v>2462</v>
      </c>
      <c r="D33" s="3104"/>
      <c r="E33" s="3105">
        <v>0.8</v>
      </c>
      <c r="F33" s="3102" t="s">
        <v>2463</v>
      </c>
      <c r="G33" s="3102"/>
    </row>
    <row r="34" spans="1:7" ht="19.5" customHeight="1">
      <c r="A34" s="3785"/>
      <c r="B34" s="3781"/>
      <c r="C34" s="3103" t="s">
        <v>2464</v>
      </c>
      <c r="D34" s="3104"/>
      <c r="E34" s="3105">
        <v>0.6</v>
      </c>
      <c r="F34" s="3102" t="s">
        <v>2465</v>
      </c>
      <c r="G34" s="3102"/>
    </row>
    <row r="35" spans="1:7" ht="19.5" customHeight="1">
      <c r="A35" s="3785"/>
      <c r="B35" s="3781"/>
      <c r="C35" s="3103" t="s">
        <v>2466</v>
      </c>
      <c r="D35" s="3104"/>
      <c r="E35" s="3105">
        <v>0.2</v>
      </c>
      <c r="F35" s="3102" t="s">
        <v>2467</v>
      </c>
      <c r="G35" s="3102"/>
    </row>
    <row r="36" spans="1:7" ht="19.5" customHeight="1">
      <c r="A36" s="3785"/>
      <c r="B36" s="3781"/>
      <c r="C36" s="3103" t="s">
        <v>2468</v>
      </c>
      <c r="D36" s="3104"/>
      <c r="E36" s="3105">
        <v>0.2</v>
      </c>
      <c r="F36" s="3102" t="s">
        <v>2469</v>
      </c>
      <c r="G36" s="3102"/>
    </row>
    <row r="37" spans="1:7" ht="19.5" customHeight="1">
      <c r="A37" s="3785"/>
      <c r="B37" s="3779" t="s">
        <v>2630</v>
      </c>
      <c r="C37" s="3103" t="s">
        <v>2470</v>
      </c>
      <c r="D37" s="3104"/>
      <c r="E37" s="3105">
        <v>0.6</v>
      </c>
      <c r="F37" s="3102" t="s">
        <v>2471</v>
      </c>
      <c r="G37" s="3102"/>
    </row>
    <row r="38" spans="1:7" ht="19.5" customHeight="1">
      <c r="A38" s="3785"/>
      <c r="B38" s="3781"/>
      <c r="C38" s="3103" t="s">
        <v>2472</v>
      </c>
      <c r="D38" s="3104"/>
      <c r="E38" s="3105">
        <v>0.6</v>
      </c>
      <c r="F38" s="3102" t="s">
        <v>2473</v>
      </c>
      <c r="G38" s="3102"/>
    </row>
    <row r="39" spans="1:7" ht="19.5" customHeight="1" thickBot="1">
      <c r="A39" s="3786"/>
      <c r="B39" s="3783"/>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787" t="s">
        <v>2608</v>
      </c>
      <c r="B41" s="3782" t="s">
        <v>2632</v>
      </c>
      <c r="C41" s="3099" t="s">
        <v>2477</v>
      </c>
      <c r="D41" s="3100"/>
      <c r="E41" s="3101">
        <v>1</v>
      </c>
      <c r="F41" s="3102" t="s">
        <v>2478</v>
      </c>
      <c r="G41" s="3102"/>
    </row>
    <row r="42" spans="1:7" ht="19.5" customHeight="1">
      <c r="A42" s="3788"/>
      <c r="B42" s="3781"/>
      <c r="C42" s="3103" t="s">
        <v>2479</v>
      </c>
      <c r="D42" s="3104"/>
      <c r="E42" s="3105">
        <v>1</v>
      </c>
      <c r="F42" s="3102" t="s">
        <v>2480</v>
      </c>
      <c r="G42" s="3102"/>
    </row>
    <row r="43" spans="1:7" ht="19.5" customHeight="1">
      <c r="A43" s="3788"/>
      <c r="B43" s="3780"/>
      <c r="C43" s="3103" t="s">
        <v>2481</v>
      </c>
      <c r="D43" s="3104"/>
      <c r="E43" s="3105">
        <v>1.5</v>
      </c>
      <c r="F43" s="3102" t="s">
        <v>2482</v>
      </c>
      <c r="G43" s="3102"/>
    </row>
    <row r="44" spans="1:7" ht="19.5" customHeight="1">
      <c r="A44" s="3788"/>
      <c r="B44" s="3114" t="s">
        <v>2633</v>
      </c>
      <c r="C44" s="3103" t="s">
        <v>2634</v>
      </c>
      <c r="D44" s="3104"/>
      <c r="E44" s="3105">
        <v>2</v>
      </c>
      <c r="F44" s="3102" t="s">
        <v>2483</v>
      </c>
      <c r="G44" s="3102"/>
    </row>
    <row r="45" spans="1:7" ht="19.5" customHeight="1">
      <c r="A45" s="3788"/>
      <c r="B45" s="3779" t="s">
        <v>2635</v>
      </c>
      <c r="C45" s="3103" t="s">
        <v>2484</v>
      </c>
      <c r="D45" s="3104"/>
      <c r="E45" s="3105">
        <v>1</v>
      </c>
      <c r="F45" s="3102" t="s">
        <v>2485</v>
      </c>
      <c r="G45" s="3102"/>
    </row>
    <row r="46" spans="1:7" ht="19.5" customHeight="1">
      <c r="A46" s="3788"/>
      <c r="B46" s="3781"/>
      <c r="C46" s="3103" t="s">
        <v>2486</v>
      </c>
      <c r="D46" s="3104"/>
      <c r="E46" s="3105">
        <v>1</v>
      </c>
      <c r="F46" s="3102" t="s">
        <v>2487</v>
      </c>
      <c r="G46" s="3102"/>
    </row>
    <row r="47" spans="1:7" ht="19.5" customHeight="1">
      <c r="A47" s="3788"/>
      <c r="B47" s="3781"/>
      <c r="C47" s="3103" t="s">
        <v>2488</v>
      </c>
      <c r="D47" s="3104"/>
      <c r="E47" s="3105">
        <v>1</v>
      </c>
      <c r="F47" s="3102" t="s">
        <v>2489</v>
      </c>
      <c r="G47" s="3102"/>
    </row>
    <row r="48" spans="1:7" ht="19.5" customHeight="1">
      <c r="A48" s="3788"/>
      <c r="B48" s="3781"/>
      <c r="C48" s="3103" t="s">
        <v>2490</v>
      </c>
      <c r="D48" s="3104"/>
      <c r="E48" s="3105">
        <v>1</v>
      </c>
      <c r="F48" s="3102" t="s">
        <v>2491</v>
      </c>
      <c r="G48" s="3102"/>
    </row>
    <row r="49" spans="1:7" ht="19.5" customHeight="1">
      <c r="A49" s="3788"/>
      <c r="B49" s="3781"/>
      <c r="C49" s="3103" t="s">
        <v>2492</v>
      </c>
      <c r="D49" s="3104"/>
      <c r="E49" s="3105">
        <v>1</v>
      </c>
      <c r="F49" s="3102" t="s">
        <v>2493</v>
      </c>
      <c r="G49" s="3102"/>
    </row>
    <row r="50" spans="1:7" ht="19.5" customHeight="1">
      <c r="A50" s="3788"/>
      <c r="B50" s="3781"/>
      <c r="C50" s="3103" t="s">
        <v>2494</v>
      </c>
      <c r="D50" s="3104"/>
      <c r="E50" s="3105">
        <v>1</v>
      </c>
      <c r="F50" s="3102" t="s">
        <v>2495</v>
      </c>
      <c r="G50" s="3102"/>
    </row>
    <row r="51" spans="1:7" ht="19.5" customHeight="1" thickBot="1">
      <c r="A51" s="3789"/>
      <c r="B51" s="3783"/>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779" t="s">
        <v>2649</v>
      </c>
      <c r="C73" s="3088" t="s">
        <v>2650</v>
      </c>
      <c r="D73" s="3088" t="s">
        <v>2651</v>
      </c>
      <c r="E73" s="3114">
        <v>0.2</v>
      </c>
      <c r="F73" s="3114">
        <v>25</v>
      </c>
    </row>
    <row r="74" spans="1:7" ht="24">
      <c r="A74" s="3114">
        <v>2</v>
      </c>
      <c r="B74" s="3781"/>
      <c r="C74" s="3088" t="s">
        <v>2652</v>
      </c>
      <c r="D74" s="3088" t="s">
        <v>2653</v>
      </c>
      <c r="E74" s="3114">
        <v>0.2</v>
      </c>
      <c r="F74" s="3114">
        <v>25</v>
      </c>
    </row>
    <row r="75" spans="1:7" ht="24">
      <c r="A75" s="3114">
        <v>3</v>
      </c>
      <c r="B75" s="3781"/>
      <c r="C75" s="3088" t="s">
        <v>2654</v>
      </c>
      <c r="D75" s="3088" t="s">
        <v>2655</v>
      </c>
      <c r="E75" s="3114">
        <v>0.2</v>
      </c>
      <c r="F75" s="3114">
        <v>25</v>
      </c>
    </row>
    <row r="76" spans="1:7" ht="13.5">
      <c r="A76" s="3114">
        <v>4</v>
      </c>
      <c r="B76" s="3781"/>
      <c r="C76" s="3088" t="s">
        <v>2656</v>
      </c>
      <c r="D76" s="3088" t="s">
        <v>2657</v>
      </c>
      <c r="E76" s="3114">
        <v>0.15</v>
      </c>
      <c r="F76" s="3114">
        <v>20</v>
      </c>
    </row>
    <row r="77" spans="1:7" ht="24">
      <c r="A77" s="3114">
        <v>5</v>
      </c>
      <c r="B77" s="3781"/>
      <c r="C77" s="3088" t="s">
        <v>2658</v>
      </c>
      <c r="D77" s="3088" t="s">
        <v>2659</v>
      </c>
      <c r="E77" s="3114">
        <v>0.15</v>
      </c>
      <c r="F77" s="3114">
        <v>20</v>
      </c>
    </row>
    <row r="78" spans="1:7" ht="24">
      <c r="A78" s="3114">
        <v>6</v>
      </c>
      <c r="B78" s="3781"/>
      <c r="C78" s="3088" t="s">
        <v>2660</v>
      </c>
      <c r="D78" s="3088" t="s">
        <v>2661</v>
      </c>
      <c r="E78" s="3114">
        <v>0.15</v>
      </c>
      <c r="F78" s="3114">
        <v>20</v>
      </c>
    </row>
    <row r="79" spans="1:7" ht="24">
      <c r="A79" s="3114">
        <v>7</v>
      </c>
      <c r="B79" s="3781"/>
      <c r="C79" s="3088" t="s">
        <v>2662</v>
      </c>
      <c r="D79" s="3088" t="s">
        <v>2663</v>
      </c>
      <c r="E79" s="3114">
        <v>0.15</v>
      </c>
      <c r="F79" s="3114">
        <v>20</v>
      </c>
    </row>
    <row r="80" spans="1:7" ht="24">
      <c r="A80" s="3114">
        <v>8</v>
      </c>
      <c r="B80" s="3781"/>
      <c r="C80" s="3088" t="s">
        <v>2664</v>
      </c>
      <c r="D80" s="3088" t="s">
        <v>2665</v>
      </c>
      <c r="E80" s="3114">
        <v>0.1</v>
      </c>
      <c r="F80" s="3114">
        <v>15</v>
      </c>
    </row>
    <row r="81" spans="1:6" ht="24">
      <c r="A81" s="3114">
        <v>9</v>
      </c>
      <c r="B81" s="3781"/>
      <c r="C81" s="3088" t="s">
        <v>2666</v>
      </c>
      <c r="D81" s="3088" t="s">
        <v>2667</v>
      </c>
      <c r="E81" s="3114">
        <v>0.1</v>
      </c>
      <c r="F81" s="3114">
        <v>15</v>
      </c>
    </row>
    <row r="82" spans="1:6" ht="24">
      <c r="A82" s="3114">
        <v>10</v>
      </c>
      <c r="B82" s="3781"/>
      <c r="C82" s="3088" t="s">
        <v>2668</v>
      </c>
      <c r="D82" s="3088" t="s">
        <v>2669</v>
      </c>
      <c r="E82" s="3114">
        <v>0.1</v>
      </c>
      <c r="F82" s="3114">
        <v>15</v>
      </c>
    </row>
    <row r="83" spans="1:6" ht="24">
      <c r="A83" s="3114">
        <v>11</v>
      </c>
      <c r="B83" s="3781"/>
      <c r="C83" s="3088" t="s">
        <v>2670</v>
      </c>
      <c r="D83" s="3088" t="s">
        <v>2671</v>
      </c>
      <c r="E83" s="3114">
        <v>0.1</v>
      </c>
      <c r="F83" s="3114">
        <v>15</v>
      </c>
    </row>
    <row r="84" spans="1:6" ht="24">
      <c r="A84" s="3114">
        <v>12</v>
      </c>
      <c r="B84" s="3781"/>
      <c r="C84" s="3088" t="s">
        <v>2672</v>
      </c>
      <c r="D84" s="3088" t="s">
        <v>2673</v>
      </c>
      <c r="E84" s="3114">
        <v>0.1</v>
      </c>
      <c r="F84" s="3114">
        <v>15</v>
      </c>
    </row>
    <row r="85" spans="1:6" ht="13.5">
      <c r="A85" s="3114">
        <v>13</v>
      </c>
      <c r="B85" s="3781"/>
      <c r="C85" s="3088" t="s">
        <v>2674</v>
      </c>
      <c r="D85" s="3088" t="s">
        <v>2675</v>
      </c>
      <c r="E85" s="3114">
        <v>0.1</v>
      </c>
      <c r="F85" s="3114">
        <v>15</v>
      </c>
    </row>
    <row r="86" spans="1:6" ht="13.5">
      <c r="A86" s="3114">
        <v>14</v>
      </c>
      <c r="B86" s="3781"/>
      <c r="C86" s="3088" t="s">
        <v>2676</v>
      </c>
      <c r="D86" s="3088" t="s">
        <v>2677</v>
      </c>
      <c r="E86" s="3114">
        <v>0.1</v>
      </c>
      <c r="F86" s="3114">
        <v>15</v>
      </c>
    </row>
    <row r="87" spans="1:6" ht="13.5">
      <c r="A87" s="3114">
        <v>15</v>
      </c>
      <c r="B87" s="3781"/>
      <c r="C87" s="3088" t="s">
        <v>2678</v>
      </c>
      <c r="D87" s="3088" t="s">
        <v>2679</v>
      </c>
      <c r="E87" s="3114">
        <v>0.1</v>
      </c>
      <c r="F87" s="3114">
        <v>15</v>
      </c>
    </row>
    <row r="88" spans="1:6" ht="24">
      <c r="A88" s="3114">
        <v>16</v>
      </c>
      <c r="B88" s="3781"/>
      <c r="C88" s="3088" t="s">
        <v>2680</v>
      </c>
      <c r="D88" s="3088" t="s">
        <v>2681</v>
      </c>
      <c r="E88" s="3114">
        <v>0.1</v>
      </c>
      <c r="F88" s="3114">
        <v>15</v>
      </c>
    </row>
    <row r="89" spans="1:6" ht="24">
      <c r="A89" s="3114">
        <v>17</v>
      </c>
      <c r="B89" s="3780"/>
      <c r="C89" s="3088" t="s">
        <v>2682</v>
      </c>
      <c r="D89" s="3088" t="s">
        <v>2683</v>
      </c>
      <c r="E89" s="3114">
        <v>0.1</v>
      </c>
      <c r="F89" s="3114">
        <v>15</v>
      </c>
    </row>
    <row r="90" spans="1:6" ht="13.5">
      <c r="A90" s="3114">
        <v>18</v>
      </c>
      <c r="B90" s="3779" t="s">
        <v>2684</v>
      </c>
      <c r="C90" s="3088" t="s">
        <v>2685</v>
      </c>
      <c r="D90" s="3088" t="s">
        <v>2686</v>
      </c>
      <c r="E90" s="3114">
        <v>0.2</v>
      </c>
      <c r="F90" s="3114">
        <v>25</v>
      </c>
    </row>
    <row r="91" spans="1:6" ht="24">
      <c r="A91" s="3114">
        <v>19</v>
      </c>
      <c r="B91" s="3781"/>
      <c r="C91" s="3088" t="s">
        <v>2687</v>
      </c>
      <c r="D91" s="3088" t="s">
        <v>2688</v>
      </c>
      <c r="E91" s="3114">
        <v>0.2</v>
      </c>
      <c r="F91" s="3114">
        <v>25</v>
      </c>
    </row>
    <row r="92" spans="1:6" ht="13.5">
      <c r="A92" s="3114">
        <v>20</v>
      </c>
      <c r="B92" s="3781"/>
      <c r="C92" s="3088" t="s">
        <v>2689</v>
      </c>
      <c r="D92" s="3088" t="s">
        <v>2690</v>
      </c>
      <c r="E92" s="3114">
        <v>0.15</v>
      </c>
      <c r="F92" s="3114">
        <v>20</v>
      </c>
    </row>
    <row r="93" spans="1:6" ht="13.5">
      <c r="A93" s="3114">
        <v>21</v>
      </c>
      <c r="B93" s="3781"/>
      <c r="C93" s="3088" t="s">
        <v>2691</v>
      </c>
      <c r="D93" s="3088" t="s">
        <v>2692</v>
      </c>
      <c r="E93" s="3114">
        <v>0.15</v>
      </c>
      <c r="F93" s="3114">
        <v>20</v>
      </c>
    </row>
    <row r="94" spans="1:6" ht="13.5">
      <c r="A94" s="3114">
        <v>22</v>
      </c>
      <c r="B94" s="3781"/>
      <c r="C94" s="3088" t="s">
        <v>2693</v>
      </c>
      <c r="D94" s="3088" t="s">
        <v>2694</v>
      </c>
      <c r="E94" s="3114">
        <v>0.15</v>
      </c>
      <c r="F94" s="3114">
        <v>20</v>
      </c>
    </row>
    <row r="95" spans="1:6" ht="36">
      <c r="A95" s="3114">
        <v>23</v>
      </c>
      <c r="B95" s="3781"/>
      <c r="C95" s="3088" t="s">
        <v>2695</v>
      </c>
      <c r="D95" s="3088" t="s">
        <v>2696</v>
      </c>
      <c r="E95" s="3114">
        <v>0.15</v>
      </c>
      <c r="F95" s="3114">
        <v>20</v>
      </c>
    </row>
    <row r="96" spans="1:6" ht="13.5">
      <c r="A96" s="3114">
        <v>24</v>
      </c>
      <c r="B96" s="3781"/>
      <c r="C96" s="3088" t="s">
        <v>2697</v>
      </c>
      <c r="D96" s="3088" t="s">
        <v>2698</v>
      </c>
      <c r="E96" s="3114">
        <v>0.1</v>
      </c>
      <c r="F96" s="3114">
        <v>15</v>
      </c>
    </row>
    <row r="97" spans="1:6" ht="13.5">
      <c r="A97" s="3114">
        <v>25</v>
      </c>
      <c r="B97" s="3781"/>
      <c r="C97" s="3088" t="s">
        <v>2699</v>
      </c>
      <c r="D97" s="3088" t="s">
        <v>2700</v>
      </c>
      <c r="E97" s="3114">
        <v>0.1</v>
      </c>
      <c r="F97" s="3114">
        <v>15</v>
      </c>
    </row>
    <row r="98" spans="1:6" ht="24">
      <c r="A98" s="3114">
        <v>26</v>
      </c>
      <c r="B98" s="3781"/>
      <c r="C98" s="3088" t="s">
        <v>2701</v>
      </c>
      <c r="D98" s="3088" t="s">
        <v>2702</v>
      </c>
      <c r="E98" s="3114">
        <v>0.1</v>
      </c>
      <c r="F98" s="3114">
        <v>15</v>
      </c>
    </row>
    <row r="99" spans="1:6" ht="24">
      <c r="A99" s="3114">
        <v>27</v>
      </c>
      <c r="B99" s="3781"/>
      <c r="C99" s="3088" t="s">
        <v>2703</v>
      </c>
      <c r="D99" s="3088" t="s">
        <v>2704</v>
      </c>
      <c r="E99" s="3114">
        <v>0.1</v>
      </c>
      <c r="F99" s="3114">
        <v>15</v>
      </c>
    </row>
    <row r="100" spans="1:6" ht="13.5">
      <c r="A100" s="3114">
        <v>28</v>
      </c>
      <c r="B100" s="3781"/>
      <c r="C100" s="3088" t="s">
        <v>2705</v>
      </c>
      <c r="D100" s="3088" t="s">
        <v>2706</v>
      </c>
      <c r="E100" s="3114">
        <v>0.1</v>
      </c>
      <c r="F100" s="3114">
        <v>15</v>
      </c>
    </row>
    <row r="101" spans="1:6" ht="13.5">
      <c r="A101" s="3114">
        <v>29</v>
      </c>
      <c r="B101" s="3781"/>
      <c r="C101" s="3088" t="s">
        <v>2707</v>
      </c>
      <c r="D101" s="3088" t="s">
        <v>2708</v>
      </c>
      <c r="E101" s="3114">
        <v>0.1</v>
      </c>
      <c r="F101" s="3114">
        <v>15</v>
      </c>
    </row>
    <row r="102" spans="1:6" ht="13.5">
      <c r="A102" s="3114">
        <v>30</v>
      </c>
      <c r="B102" s="3781"/>
      <c r="C102" s="3088" t="s">
        <v>2709</v>
      </c>
      <c r="D102" s="3088" t="s">
        <v>2710</v>
      </c>
      <c r="E102" s="3114">
        <v>0.1</v>
      </c>
      <c r="F102" s="3114">
        <v>15</v>
      </c>
    </row>
    <row r="103" spans="1:6" ht="24">
      <c r="A103" s="3114">
        <v>31</v>
      </c>
      <c r="B103" s="3781"/>
      <c r="C103" s="3088" t="s">
        <v>2711</v>
      </c>
      <c r="D103" s="3088" t="s">
        <v>2712</v>
      </c>
      <c r="E103" s="3114">
        <v>0.1</v>
      </c>
      <c r="F103" s="3114">
        <v>15</v>
      </c>
    </row>
    <row r="104" spans="1:6" ht="24">
      <c r="A104" s="3114">
        <v>32</v>
      </c>
      <c r="B104" s="3781"/>
      <c r="C104" s="3088" t="s">
        <v>2713</v>
      </c>
      <c r="D104" s="3088" t="s">
        <v>2714</v>
      </c>
      <c r="E104" s="3114">
        <v>0.1</v>
      </c>
      <c r="F104" s="3114">
        <v>15</v>
      </c>
    </row>
    <row r="105" spans="1:6" ht="24">
      <c r="A105" s="3114">
        <v>33</v>
      </c>
      <c r="B105" s="3781"/>
      <c r="C105" s="3088" t="s">
        <v>2715</v>
      </c>
      <c r="D105" s="3088" t="s">
        <v>2716</v>
      </c>
      <c r="E105" s="3114">
        <v>0.1</v>
      </c>
      <c r="F105" s="3114">
        <v>15</v>
      </c>
    </row>
    <row r="106" spans="1:6" ht="24">
      <c r="A106" s="3114">
        <v>34</v>
      </c>
      <c r="B106" s="3780"/>
      <c r="C106" s="3088" t="s">
        <v>2717</v>
      </c>
      <c r="D106" s="3088" t="s">
        <v>2718</v>
      </c>
      <c r="E106" s="3114">
        <v>0.1</v>
      </c>
      <c r="F106" s="3114">
        <v>15</v>
      </c>
    </row>
    <row r="107" spans="1:6" ht="24">
      <c r="A107" s="3114">
        <v>35</v>
      </c>
      <c r="B107" s="3779" t="s">
        <v>2719</v>
      </c>
      <c r="C107" s="3114" t="s">
        <v>2720</v>
      </c>
      <c r="D107" s="3088" t="s">
        <v>2721</v>
      </c>
      <c r="E107" s="3114">
        <v>0.15</v>
      </c>
      <c r="F107" s="3114">
        <v>20</v>
      </c>
    </row>
    <row r="108" spans="1:6" ht="13.5">
      <c r="A108" s="3114">
        <v>36</v>
      </c>
      <c r="B108" s="3781"/>
      <c r="C108" s="3114" t="s">
        <v>2722</v>
      </c>
      <c r="D108" s="3088" t="s">
        <v>2723</v>
      </c>
      <c r="E108" s="3114">
        <v>0.15</v>
      </c>
      <c r="F108" s="3114">
        <v>20</v>
      </c>
    </row>
    <row r="109" spans="1:6" ht="13.5">
      <c r="A109" s="3114">
        <v>37</v>
      </c>
      <c r="B109" s="3781"/>
      <c r="C109" s="3114" t="s">
        <v>2724</v>
      </c>
      <c r="D109" s="3088" t="s">
        <v>2725</v>
      </c>
      <c r="E109" s="3114">
        <v>0.15</v>
      </c>
      <c r="F109" s="3114">
        <v>20</v>
      </c>
    </row>
    <row r="110" spans="1:6" ht="13.5">
      <c r="A110" s="3114">
        <v>38</v>
      </c>
      <c r="B110" s="3781"/>
      <c r="C110" s="3114" t="s">
        <v>2726</v>
      </c>
      <c r="D110" s="3088" t="s">
        <v>2727</v>
      </c>
      <c r="E110" s="3114">
        <v>0.1</v>
      </c>
      <c r="F110" s="3114">
        <v>15</v>
      </c>
    </row>
    <row r="111" spans="1:6" ht="24">
      <c r="A111" s="3114">
        <v>39</v>
      </c>
      <c r="B111" s="3781"/>
      <c r="C111" s="3114" t="s">
        <v>2728</v>
      </c>
      <c r="D111" s="3088" t="s">
        <v>2729</v>
      </c>
      <c r="E111" s="3114">
        <v>0.1</v>
      </c>
      <c r="F111" s="3114">
        <v>15</v>
      </c>
    </row>
    <row r="112" spans="1:6" ht="24">
      <c r="A112" s="3114">
        <v>40</v>
      </c>
      <c r="B112" s="3780"/>
      <c r="C112" s="3114" t="s">
        <v>2730</v>
      </c>
      <c r="D112" s="3088" t="s">
        <v>2731</v>
      </c>
      <c r="E112" s="3114">
        <v>0.1</v>
      </c>
      <c r="F112" s="3114">
        <v>15</v>
      </c>
    </row>
    <row r="113" spans="1:6" ht="13.5">
      <c r="A113" s="3114">
        <v>41</v>
      </c>
      <c r="B113" s="3778" t="s">
        <v>2732</v>
      </c>
      <c r="C113" s="3114" t="s">
        <v>2733</v>
      </c>
      <c r="D113" s="3088" t="s">
        <v>2734</v>
      </c>
      <c r="E113" s="3114">
        <v>0.1</v>
      </c>
      <c r="F113" s="3114">
        <v>15</v>
      </c>
    </row>
    <row r="114" spans="1:6" ht="13.5">
      <c r="A114" s="3114">
        <v>42</v>
      </c>
      <c r="B114" s="3778"/>
      <c r="C114" s="3114" t="s">
        <v>2735</v>
      </c>
      <c r="D114" s="3088" t="s">
        <v>2736</v>
      </c>
      <c r="E114" s="3114">
        <v>0.1</v>
      </c>
      <c r="F114" s="3114">
        <v>15</v>
      </c>
    </row>
    <row r="115" spans="1:6" ht="24">
      <c r="A115" s="3114">
        <v>43</v>
      </c>
      <c r="B115" s="3778"/>
      <c r="C115" s="3114" t="s">
        <v>2737</v>
      </c>
      <c r="D115" s="3088" t="s">
        <v>2738</v>
      </c>
      <c r="E115" s="3114">
        <v>0.1</v>
      </c>
      <c r="F115" s="3114">
        <v>15</v>
      </c>
    </row>
    <row r="116" spans="1:6" ht="13.5">
      <c r="A116" s="3114">
        <v>44</v>
      </c>
      <c r="B116" s="3779" t="s">
        <v>2739</v>
      </c>
      <c r="C116" s="3114" t="s">
        <v>2740</v>
      </c>
      <c r="D116" s="3088" t="s">
        <v>2741</v>
      </c>
      <c r="E116" s="3114">
        <v>0.1</v>
      </c>
      <c r="F116" s="3114">
        <v>15</v>
      </c>
    </row>
    <row r="117" spans="1:6" ht="24">
      <c r="A117" s="3114">
        <v>45</v>
      </c>
      <c r="B117" s="3780"/>
      <c r="C117" s="3088" t="s">
        <v>2742</v>
      </c>
      <c r="D117" s="3088" t="s">
        <v>2743</v>
      </c>
      <c r="E117" s="3114">
        <v>0.1</v>
      </c>
      <c r="F117" s="3114">
        <v>15</v>
      </c>
    </row>
    <row r="118" spans="1:6" ht="24">
      <c r="A118" s="3114">
        <v>46</v>
      </c>
      <c r="B118" s="3779" t="s">
        <v>2744</v>
      </c>
      <c r="C118" s="3114" t="s">
        <v>2745</v>
      </c>
      <c r="D118" s="3088" t="s">
        <v>2746</v>
      </c>
      <c r="E118" s="3114">
        <v>0.1</v>
      </c>
      <c r="F118" s="3114">
        <v>15</v>
      </c>
    </row>
    <row r="119" spans="1:6" ht="24">
      <c r="A119" s="3114">
        <v>47</v>
      </c>
      <c r="B119" s="3780"/>
      <c r="C119" s="3114" t="s">
        <v>2747</v>
      </c>
      <c r="D119" s="3088" t="s">
        <v>2748</v>
      </c>
      <c r="E119" s="3114">
        <v>0.1</v>
      </c>
      <c r="F119" s="3114">
        <v>15</v>
      </c>
    </row>
    <row r="120" spans="1:6" ht="13.5">
      <c r="A120" s="3114">
        <v>48</v>
      </c>
      <c r="B120" s="3779" t="s">
        <v>2749</v>
      </c>
      <c r="C120" s="3114" t="s">
        <v>2750</v>
      </c>
      <c r="D120" s="3088" t="s">
        <v>2751</v>
      </c>
      <c r="E120" s="3114">
        <v>0.1</v>
      </c>
      <c r="F120" s="3114">
        <v>15</v>
      </c>
    </row>
    <row r="121" spans="1:6" ht="13.5">
      <c r="A121" s="3114">
        <v>49</v>
      </c>
      <c r="B121" s="3780"/>
      <c r="C121" s="3114" t="s">
        <v>2752</v>
      </c>
      <c r="D121" s="3088" t="s">
        <v>2753</v>
      </c>
      <c r="E121" s="3114">
        <v>0.1</v>
      </c>
      <c r="F121" s="3114">
        <v>15</v>
      </c>
    </row>
    <row r="122" spans="1:6" ht="24">
      <c r="A122" s="3114">
        <v>50</v>
      </c>
      <c r="B122" s="3778" t="s">
        <v>2754</v>
      </c>
      <c r="C122" s="3114" t="s">
        <v>2755</v>
      </c>
      <c r="D122" s="3088" t="s">
        <v>2756</v>
      </c>
      <c r="E122" s="3114">
        <v>0.1</v>
      </c>
      <c r="F122" s="3114">
        <v>15</v>
      </c>
    </row>
    <row r="123" spans="1:6" ht="24">
      <c r="A123" s="3114">
        <v>51</v>
      </c>
      <c r="B123" s="3778"/>
      <c r="C123" s="3114" t="s">
        <v>2757</v>
      </c>
      <c r="D123" s="3088" t="s">
        <v>2758</v>
      </c>
      <c r="E123" s="3114">
        <v>0.1</v>
      </c>
      <c r="F123" s="3114">
        <v>15</v>
      </c>
    </row>
    <row r="124" spans="1:6" ht="24">
      <c r="A124" s="3114">
        <v>52</v>
      </c>
      <c r="B124" s="3778" t="s">
        <v>2759</v>
      </c>
      <c r="C124" s="3114" t="s">
        <v>2760</v>
      </c>
      <c r="D124" s="3088" t="s">
        <v>2761</v>
      </c>
      <c r="E124" s="3114">
        <v>0.1</v>
      </c>
      <c r="F124" s="3114">
        <v>15</v>
      </c>
    </row>
    <row r="125" spans="1:6" ht="24">
      <c r="A125" s="3114">
        <v>53</v>
      </c>
      <c r="B125" s="3778"/>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778" t="s">
        <v>2767</v>
      </c>
      <c r="C127" s="3114" t="s">
        <v>2768</v>
      </c>
      <c r="D127" s="3088" t="s">
        <v>2769</v>
      </c>
      <c r="E127" s="3114">
        <v>0.1</v>
      </c>
      <c r="F127" s="3114">
        <v>15</v>
      </c>
    </row>
    <row r="128" spans="1:6" ht="13.5">
      <c r="A128" s="3114">
        <v>56</v>
      </c>
      <c r="B128" s="3778"/>
      <c r="C128" s="3114" t="s">
        <v>2770</v>
      </c>
      <c r="D128" s="3088" t="s">
        <v>2771</v>
      </c>
      <c r="E128" s="3114">
        <v>0.1</v>
      </c>
      <c r="F128" s="3114">
        <v>15</v>
      </c>
    </row>
    <row r="129" spans="1:6" ht="24">
      <c r="A129" s="3114">
        <v>57</v>
      </c>
      <c r="B129" s="3778"/>
      <c r="C129" s="3114" t="s">
        <v>2772</v>
      </c>
      <c r="D129" s="3088" t="s">
        <v>2773</v>
      </c>
      <c r="E129" s="3114">
        <v>0.1</v>
      </c>
      <c r="F129" s="3114">
        <v>15</v>
      </c>
    </row>
    <row r="130" spans="1:6" ht="24">
      <c r="A130" s="3114">
        <v>58</v>
      </c>
      <c r="B130" s="3778" t="s">
        <v>2774</v>
      </c>
      <c r="C130" s="3114" t="s">
        <v>2775</v>
      </c>
      <c r="D130" s="3088" t="s">
        <v>2776</v>
      </c>
      <c r="E130" s="3114">
        <v>0.1</v>
      </c>
      <c r="F130" s="3114">
        <v>15</v>
      </c>
    </row>
    <row r="131" spans="1:6" ht="13.5">
      <c r="A131" s="3114">
        <v>59</v>
      </c>
      <c r="B131" s="3778"/>
      <c r="C131" s="3114" t="s">
        <v>2777</v>
      </c>
      <c r="D131" s="3088" t="s">
        <v>2778</v>
      </c>
      <c r="E131" s="3114">
        <v>0.1</v>
      </c>
      <c r="F131" s="3114">
        <v>15</v>
      </c>
    </row>
    <row r="132" spans="1:6" ht="13.5">
      <c r="A132" s="3114">
        <v>60</v>
      </c>
      <c r="B132" s="3779" t="s">
        <v>2779</v>
      </c>
      <c r="C132" s="3114" t="s">
        <v>2780</v>
      </c>
      <c r="D132" s="3088" t="s">
        <v>2781</v>
      </c>
      <c r="E132" s="3114">
        <v>0.1</v>
      </c>
      <c r="F132" s="3114">
        <v>15</v>
      </c>
    </row>
    <row r="133" spans="1:6" ht="13.5">
      <c r="A133" s="3114">
        <v>61</v>
      </c>
      <c r="B133" s="3780"/>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778" t="s">
        <v>2787</v>
      </c>
      <c r="C135" s="3114" t="s">
        <v>2788</v>
      </c>
      <c r="D135" s="3088" t="s">
        <v>2789</v>
      </c>
      <c r="E135" s="3114">
        <v>0.1</v>
      </c>
      <c r="F135" s="3114">
        <v>15</v>
      </c>
    </row>
    <row r="136" spans="1:6" ht="13.5">
      <c r="A136" s="3114">
        <v>64</v>
      </c>
      <c r="B136" s="3778"/>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1.1559999999999999</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1.0995999999999999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39104</v>
      </c>
      <c r="C2" s="2" t="s">
        <v>106</v>
      </c>
      <c r="D2" s="199"/>
      <c r="E2" s="199"/>
      <c r="F2" s="199"/>
      <c r="G2" s="199"/>
    </row>
    <row r="3" spans="1:7" s="200" customFormat="1" ht="18" customHeight="1" thickBot="1">
      <c r="A3" s="203" t="s">
        <v>58</v>
      </c>
      <c r="B3" s="204">
        <f ca="1">ROUND(B2*10000/'数据-汇总表'!E3,0)</f>
        <v>20159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388</v>
      </c>
      <c r="D10" s="845">
        <f>'数据-汇总表'!E6</f>
        <v>19397.46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388</v>
      </c>
      <c r="D19" s="849">
        <f>'数据-汇总表'!E3</f>
        <v>19397.46</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4284</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4284</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8729</v>
      </c>
      <c r="D34" s="217"/>
      <c r="E34" s="220"/>
      <c r="F34" s="257">
        <f>IF('数据-取费表'!B24=0,1,'数据-取费表'!N16)</f>
        <v>1</v>
      </c>
      <c r="G34" s="219" t="s">
        <v>89</v>
      </c>
    </row>
    <row r="35" spans="1:7" ht="13.5" customHeight="1">
      <c r="A35" s="780" t="s">
        <v>351</v>
      </c>
      <c r="B35" s="215" t="s">
        <v>33</v>
      </c>
      <c r="C35" s="220">
        <f>ROUND(C34*F35,0)</f>
        <v>262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388</v>
      </c>
      <c r="D37" s="217">
        <f>'数据-汇总表'!E3</f>
        <v>19397.46</v>
      </c>
      <c r="E37" s="249">
        <f>'数据-取费表'!B35</f>
        <v>200</v>
      </c>
      <c r="F37" s="259"/>
      <c r="G37" s="261" t="s">
        <v>92</v>
      </c>
    </row>
    <row r="38" spans="1:7" ht="13.5" customHeight="1">
      <c r="A38" s="780" t="s">
        <v>354</v>
      </c>
      <c r="B38" s="215" t="s">
        <v>36</v>
      </c>
      <c r="C38" s="220">
        <f>ROUND(C34*F38,0)</f>
        <v>131</v>
      </c>
      <c r="D38" s="220"/>
      <c r="E38" s="220"/>
      <c r="F38" s="259">
        <f>'数据-取费表'!B36</f>
        <v>1.4999999999999999E-2</v>
      </c>
      <c r="G38" s="219" t="s">
        <v>90</v>
      </c>
    </row>
    <row r="39" spans="1:7" s="214" customFormat="1" ht="13.5" customHeight="1">
      <c r="A39" s="777" t="s">
        <v>338</v>
      </c>
      <c r="B39" s="210" t="s">
        <v>77</v>
      </c>
      <c r="C39" s="232">
        <f>ROUND(C33*F20,0)</f>
        <v>190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395</v>
      </c>
      <c r="D42" s="238"/>
      <c r="E42" s="238"/>
      <c r="F42" s="239"/>
      <c r="G42" s="3706" t="s">
        <v>94</v>
      </c>
    </row>
    <row r="43" spans="1:7" ht="13.5" customHeight="1">
      <c r="A43" s="780" t="s">
        <v>347</v>
      </c>
      <c r="B43" s="215" t="s">
        <v>426</v>
      </c>
      <c r="C43" s="238">
        <f ca="1">ROUND(IF('数据-取费表'!B22&lt;=1,C39*F22*'数据-取费表'!B21/2,C39*(POWER((1+F22),'数据-取费表'!B21/2)-1)),0)</f>
        <v>8</v>
      </c>
      <c r="D43" s="238"/>
      <c r="E43" s="238"/>
      <c r="F43" s="239"/>
      <c r="G43" s="3707"/>
    </row>
    <row r="44" spans="1:7" ht="13.5" customHeight="1">
      <c r="A44" s="780" t="s">
        <v>348</v>
      </c>
      <c r="B44" s="215" t="s">
        <v>428</v>
      </c>
      <c r="C44" s="238">
        <f ca="1">ROUND(IF('数据-取费表'!B22&lt;=1,C40*F22*'数据-取费表'!B21/2,C40*(POWER((1+F22),'数据-取费表'!B21/2)-1)),4)</f>
        <v>8.0000000000000004E-4</v>
      </c>
      <c r="D44" s="238"/>
      <c r="E44" s="238"/>
      <c r="F44" s="239"/>
      <c r="G44" s="3708"/>
    </row>
    <row r="45" spans="1:7" s="214" customFormat="1" ht="13.5" customHeight="1">
      <c r="A45" s="777" t="s">
        <v>341</v>
      </c>
      <c r="B45" s="244" t="s">
        <v>85</v>
      </c>
      <c r="C45" s="245">
        <f>C46</f>
        <v>1940</v>
      </c>
      <c r="D45" s="235">
        <f>C47</f>
        <v>4.0000000000000001E-3</v>
      </c>
      <c r="E45" s="236" t="s">
        <v>102</v>
      </c>
      <c r="F45" s="246"/>
      <c r="G45" s="247" t="s">
        <v>434</v>
      </c>
    </row>
    <row r="46" spans="1:7" s="214" customFormat="1" ht="13.5" customHeight="1">
      <c r="A46" s="780" t="s">
        <v>349</v>
      </c>
      <c r="B46" s="248" t="s">
        <v>427</v>
      </c>
      <c r="C46" s="249">
        <f>ROUND((C33+C39)*F27,0)</f>
        <v>1940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13064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9275</v>
      </c>
      <c r="D51" s="232"/>
      <c r="E51" s="232"/>
      <c r="F51" s="264"/>
      <c r="G51" s="234" t="s">
        <v>37</v>
      </c>
    </row>
    <row r="52" spans="1:7" s="208" customFormat="1" ht="16.5" thickBot="1">
      <c r="A52" s="265" t="s">
        <v>38</v>
      </c>
      <c r="B52" s="266"/>
      <c r="C52" s="267">
        <f ca="1">C31+C51</f>
        <v>39104</v>
      </c>
      <c r="D52" s="266"/>
      <c r="E52" s="266"/>
      <c r="F52" s="266"/>
      <c r="G52" s="268"/>
    </row>
    <row r="55" spans="1:7" ht="15">
      <c r="B55" s="270" t="s">
        <v>39</v>
      </c>
      <c r="C55" s="271"/>
    </row>
    <row r="56" spans="1:7">
      <c r="B56" s="273" t="s">
        <v>40</v>
      </c>
      <c r="C56" s="274">
        <f ca="1">ROUND(C51/C52,3)</f>
        <v>0.23699999999999999</v>
      </c>
    </row>
    <row r="57" spans="1:7">
      <c r="B57" s="273" t="s">
        <v>41</v>
      </c>
      <c r="C57" s="275">
        <f ca="1">1-C56</f>
        <v>0.76300000000000001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61233</v>
      </c>
      <c r="E5" s="1491"/>
    </row>
    <row r="6" spans="1:5" ht="15.75">
      <c r="A6" s="1491"/>
      <c r="B6" s="3472"/>
      <c r="C6" s="1494" t="s">
        <v>911</v>
      </c>
      <c r="D6" s="850" t="str">
        <f ca="1">NUMBERSTRING(INT(D5*10000),2)&amp;"元整"</f>
        <v>陆亿壹仟贰佰叁拾叁万元整</v>
      </c>
      <c r="E6" s="1491"/>
    </row>
    <row r="7" spans="1:5" ht="15.75">
      <c r="A7" s="1491"/>
      <c r="B7" s="3477"/>
      <c r="C7" s="1495" t="s">
        <v>912</v>
      </c>
      <c r="D7" s="851">
        <f ca="1">结果表!H102</f>
        <v>31568</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61233</v>
      </c>
      <c r="E13" s="1491"/>
    </row>
    <row r="14" spans="1:5" ht="15.75">
      <c r="A14" s="1491"/>
      <c r="B14" s="3472"/>
      <c r="C14" s="1494" t="s">
        <v>911</v>
      </c>
      <c r="D14" s="850" t="str">
        <f ca="1">NUMBERSTRING(INT(D13*10000),2)&amp;"元整"</f>
        <v>陆亿壹仟贰佰叁拾叁万元整</v>
      </c>
      <c r="E14" s="1491"/>
    </row>
    <row r="15" spans="1:5" ht="15">
      <c r="A15" s="1491"/>
      <c r="B15" s="3477"/>
      <c r="C15" s="1495" t="s">
        <v>921</v>
      </c>
      <c r="D15" s="859">
        <f ca="1">结果表!H108</f>
        <v>31568</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39088</v>
      </c>
      <c r="E19" s="1491"/>
    </row>
    <row r="20" spans="1:5" ht="15.75">
      <c r="A20" s="1491"/>
      <c r="B20" s="3472"/>
      <c r="C20" s="1494" t="s">
        <v>923</v>
      </c>
      <c r="D20" s="850" t="str">
        <f ca="1">NUMBERSTRING(INT(D19*10000),2)&amp;"元整"</f>
        <v>叁亿玖仟零捌拾捌万元整</v>
      </c>
      <c r="E20" s="1491"/>
    </row>
    <row r="21" spans="1:5" ht="15.75" thickBot="1">
      <c r="A21" s="1491"/>
      <c r="B21" s="3473"/>
      <c r="C21" s="1501" t="s">
        <v>921</v>
      </c>
      <c r="D21" s="860">
        <f ca="1">结果表!H112</f>
        <v>20151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2" t="s">
        <v>2841</v>
      </c>
      <c r="B1" s="3792"/>
      <c r="C1" s="3792"/>
      <c r="D1" s="3792"/>
      <c r="E1" s="3792"/>
      <c r="F1" s="3792"/>
      <c r="G1" s="3793"/>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790"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791"/>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4" t="s">
        <v>3183</v>
      </c>
      <c r="B1" s="3794"/>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5" t="s">
        <v>3234</v>
      </c>
      <c r="B1" s="3795"/>
      <c r="C1" s="3795"/>
      <c r="D1" s="3795"/>
      <c r="E1" s="3795"/>
      <c r="F1" s="3796"/>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45023</v>
      </c>
      <c r="B1" s="3206" t="s">
        <v>2840</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797" t="s">
        <v>2828</v>
      </c>
      <c r="S21" s="3798"/>
      <c r="T21" s="3798"/>
      <c r="U21" s="3798"/>
      <c r="V21" s="3798"/>
      <c r="W21" s="3798"/>
      <c r="X21" s="3161"/>
      <c r="Y21" s="3797" t="s">
        <v>2829</v>
      </c>
      <c r="Z21" s="3798"/>
      <c r="AA21" s="3798"/>
      <c r="AB21" s="3798"/>
      <c r="AC21" s="3798"/>
      <c r="AD21" s="3798"/>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2308</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
  <sheetViews>
    <sheetView topLeftCell="A4" workbookViewId="0">
      <selection activeCell="G43" sqref="G43"/>
    </sheetView>
  </sheetViews>
  <sheetFormatPr defaultRowHeight="13.5"/>
  <sheetData>
    <row r="1" spans="2:9">
      <c r="C1" s="3458" t="s">
        <v>3443</v>
      </c>
      <c r="D1" s="3458" t="s">
        <v>3445</v>
      </c>
      <c r="E1" s="3458" t="s">
        <v>3444</v>
      </c>
      <c r="F1" s="3458" t="s">
        <v>3446</v>
      </c>
      <c r="G1" s="3458" t="s">
        <v>3447</v>
      </c>
      <c r="I1">
        <v>2023</v>
      </c>
    </row>
    <row r="2" spans="2:9">
      <c r="B2" s="3458" t="s">
        <v>3441</v>
      </c>
      <c r="C2">
        <v>716.25</v>
      </c>
      <c r="D2">
        <v>143.25</v>
      </c>
      <c r="E2">
        <f>ROUND(C2*10000/D2,0)</f>
        <v>50000</v>
      </c>
      <c r="F2">
        <v>1</v>
      </c>
      <c r="G2" s="3458" t="s">
        <v>3449</v>
      </c>
      <c r="H2" s="3458">
        <v>2003</v>
      </c>
      <c r="I2">
        <f>40-(I1-H2)</f>
        <v>20</v>
      </c>
    </row>
    <row r="3" spans="2:9">
      <c r="B3" s="3458" t="s">
        <v>3442</v>
      </c>
      <c r="C3">
        <v>1389.96</v>
      </c>
      <c r="D3">
        <v>256.45</v>
      </c>
      <c r="E3">
        <f>ROUND(C3*10000/D3,0)</f>
        <v>54200</v>
      </c>
      <c r="F3">
        <v>1</v>
      </c>
      <c r="G3" s="3458" t="s">
        <v>3449</v>
      </c>
      <c r="H3" s="3458">
        <v>1998</v>
      </c>
      <c r="I3">
        <f>40-(I1-H3)</f>
        <v>15</v>
      </c>
    </row>
    <row r="4" spans="2:9">
      <c r="B4" s="3458" t="s">
        <v>3484</v>
      </c>
      <c r="C4">
        <v>255</v>
      </c>
      <c r="D4">
        <v>45.5</v>
      </c>
      <c r="E4">
        <f>ROUND(C4*10000/D4,0)</f>
        <v>56044</v>
      </c>
      <c r="F4" s="3459" t="s">
        <v>3485</v>
      </c>
      <c r="G4" s="3458" t="s">
        <v>3449</v>
      </c>
      <c r="H4">
        <v>2004</v>
      </c>
      <c r="I4">
        <f>40-(I1-H4)</f>
        <v>21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30">
      <c r="A4" s="1505" t="str">
        <f>项目基本情况!S2</f>
        <v>北京市海淀区远大园六区部分商业用房房地产</v>
      </c>
      <c r="B4" s="854">
        <f>项目基本情况!C17</f>
        <v>19397.46</v>
      </c>
      <c r="C4" s="854">
        <f>项目基本情况!C18</f>
        <v>10358.120000000001</v>
      </c>
      <c r="D4" s="854">
        <f ca="1">结果表!D118</f>
        <v>51681</v>
      </c>
      <c r="E4" s="854">
        <f ca="1">结果表!E118</f>
        <v>26644</v>
      </c>
      <c r="F4" s="854">
        <f ca="1">结果表!F118</f>
        <v>9552</v>
      </c>
      <c r="G4" s="854">
        <f ca="1">结果表!G118</f>
        <v>4924</v>
      </c>
      <c r="H4" s="854">
        <f ca="1">结果表!H118</f>
        <v>61233</v>
      </c>
      <c r="I4" s="854">
        <f ca="1">结果表!I118</f>
        <v>31568</v>
      </c>
    </row>
    <row r="5" spans="1:9" ht="30" customHeight="1">
      <c r="A5" s="3484" t="s">
        <v>927</v>
      </c>
      <c r="B5" s="3484"/>
      <c r="C5" s="3484"/>
      <c r="D5" s="3484" t="str">
        <f ca="1">结果表!D119</f>
        <v>伍亿壹仟陆佰捌拾壹万元整</v>
      </c>
      <c r="E5" s="3484"/>
      <c r="F5" s="3484" t="str">
        <f ca="1">结果表!F119</f>
        <v>玖仟伍佰伍拾贰万元整</v>
      </c>
      <c r="G5" s="3484"/>
      <c r="H5" s="3484" t="str">
        <f ca="1">结果表!H119</f>
        <v>陆亿壹仟贰佰叁拾叁万元整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61233</v>
      </c>
      <c r="E8" s="3483"/>
      <c r="F8" s="3483"/>
      <c r="G8" s="3483"/>
      <c r="H8" s="3483"/>
      <c r="I8" s="3483"/>
    </row>
    <row r="9" spans="1:9" ht="15">
      <c r="A9" s="3484" t="s">
        <v>927</v>
      </c>
      <c r="B9" s="3484"/>
      <c r="C9" s="3484"/>
      <c r="D9" s="3484" t="str">
        <f ca="1">结果表!D123</f>
        <v>陆亿壹仟贰佰叁拾叁万元整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抵押净值</v>
      </c>
      <c r="B12" s="3483"/>
      <c r="C12" s="3483"/>
      <c r="D12" s="3483">
        <f ca="1">结果表!D126</f>
        <v>39088</v>
      </c>
      <c r="E12" s="3483"/>
      <c r="F12" s="3483"/>
      <c r="G12" s="3483"/>
      <c r="H12" s="3483"/>
      <c r="I12" s="3483"/>
    </row>
    <row r="13" spans="1:9" ht="15.75" thickBot="1">
      <c r="A13" s="3481" t="s">
        <v>927</v>
      </c>
      <c r="B13" s="3481"/>
      <c r="C13" s="3481"/>
      <c r="D13" s="3481" t="str">
        <f ca="1">结果表!D127</f>
        <v>叁亿玖仟零捌拾捌万元整</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45030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3"/>
      <c r="E18" s="3509" t="s">
        <v>2161</v>
      </c>
      <c r="F18" s="3508"/>
      <c r="G18" s="350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2023-04-14T02:24:32Z</dcterms:modified>
</cp:coreProperties>
</file>