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9" i="74" l="1"/>
  <c r="F8" i="74" l="1"/>
  <c r="D14" i="74" l="1"/>
  <c r="G14" i="74" l="1"/>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9"/>
  <c r="B12" i="76"/>
  <c r="E2" i="69"/>
  <c r="M28" i="67"/>
  <c r="M24" i="15"/>
  <c r="L48" i="15"/>
  <c r="F16" i="67"/>
  <c r="C76" i="67"/>
  <c r="J15" i="67"/>
  <c r="M22" i="67"/>
  <c r="F26" i="67"/>
  <c r="J15" i="15"/>
  <c r="F7" i="67"/>
  <c r="F43" i="67"/>
  <c r="F42" i="67"/>
  <c r="F38" i="67"/>
  <c r="F40" i="67"/>
  <c r="F3" i="73"/>
  <c r="F20" i="31"/>
  <c r="F5" i="73"/>
  <c r="E13" i="76"/>
  <c r="C19" i="9"/>
  <c r="F7" i="15"/>
  <c r="F26" i="15"/>
  <c r="B10" i="76"/>
  <c r="D20" i="9"/>
  <c r="M8" i="67"/>
  <c r="D34" i="9"/>
  <c r="F6" i="73"/>
  <c r="F36" i="67"/>
  <c r="B9" i="76"/>
  <c r="E10" i="76"/>
  <c r="E9" i="76"/>
  <c r="M9" i="15"/>
  <c r="F4" i="73"/>
  <c r="F6" i="67"/>
  <c r="F13" i="15"/>
  <c r="M26" i="15"/>
  <c r="L48" i="67"/>
  <c r="M23" i="15"/>
  <c r="M22" i="15"/>
  <c r="M28" i="15"/>
  <c r="D35" i="9"/>
  <c r="E7" i="76"/>
  <c r="F8" i="67"/>
  <c r="F8" i="15"/>
  <c r="D6" i="73"/>
  <c r="F40" i="15"/>
  <c r="E12" i="76"/>
  <c r="M26" i="67"/>
  <c r="F13" i="67"/>
  <c r="B8" i="76"/>
  <c r="E2" i="68"/>
  <c r="M29" i="15"/>
  <c r="F37" i="67"/>
  <c r="B13" i="76"/>
  <c r="AO13" i="1"/>
  <c r="B11" i="76"/>
  <c r="M6" i="67"/>
  <c r="F7" i="73"/>
  <c r="M23" i="67"/>
  <c r="M9" i="67"/>
  <c r="E8" i="76"/>
  <c r="M8" i="15"/>
  <c r="B7" i="76"/>
  <c r="M24" i="67"/>
  <c r="M29" i="67"/>
  <c r="L47" i="67"/>
  <c r="F9" i="15"/>
  <c r="E11" i="76"/>
  <c r="F36" i="15"/>
  <c r="F37" i="15"/>
  <c r="F9" i="67"/>
  <c r="F6" i="15"/>
  <c r="D19" i="9"/>
  <c r="M6" i="15"/>
  <c r="F16" i="15"/>
  <c r="F43" i="15"/>
  <c r="L47" i="15"/>
  <c r="F42" i="15"/>
  <c r="F38" i="15"/>
  <c r="C76" i="15"/>
  <c r="C7" i="33" l="1"/>
  <c r="G23" i="43"/>
  <c r="C23" i="43" s="1"/>
  <c r="C42" i="1"/>
  <c r="C24" i="12" s="1"/>
  <c r="C7" i="36"/>
  <c r="C46" i="36" s="1"/>
  <c r="D46" i="36" s="1"/>
  <c r="E46" i="36" s="1"/>
  <c r="F46" i="36" s="1"/>
  <c r="G46" i="36" s="1"/>
  <c r="H46" i="36" s="1"/>
  <c r="I46" i="36" s="1"/>
  <c r="J46" i="36" s="1"/>
  <c r="K46" i="36" s="1"/>
  <c r="L46" i="36" s="1"/>
  <c r="M46" i="36" s="1"/>
  <c r="N46" i="36" s="1"/>
  <c r="O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3" i="73"/>
  <c r="D5" i="73"/>
  <c r="C16" i="67"/>
  <c r="C16" i="15"/>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15"/>
  <c r="F41" i="15"/>
  <c r="M27" i="67"/>
  <c r="F6" i="74" l="1"/>
  <c r="F25" i="12"/>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F7" i="74" l="1"/>
  <c r="I6" i="74"/>
  <c r="I54" i="34"/>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7" i="1"/>
  <c r="AO8" i="1"/>
  <c r="AO12" i="1"/>
  <c r="AO6"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l="1"/>
  <c r="I5" i="74"/>
  <c r="B6" i="74"/>
  <c r="D6" i="74" s="1"/>
  <c r="N58" i="9"/>
  <c r="P57" i="9"/>
  <c r="C81" i="9"/>
  <c r="C104" i="9"/>
  <c r="H4" i="52"/>
  <c r="B31" i="72"/>
  <c r="M48" i="9"/>
  <c r="N60" i="9"/>
  <c r="N57" i="9"/>
  <c r="N59" i="9"/>
  <c r="N61" i="9"/>
  <c r="D52" i="9"/>
  <c r="D53" i="9"/>
  <c r="D9" i="52"/>
  <c r="B22" i="72"/>
  <c r="B32" i="72"/>
  <c r="D15" i="53"/>
  <c r="H108" i="9"/>
  <c r="C6" i="74"/>
  <c r="D14" i="53"/>
  <c r="D13" i="53"/>
  <c r="B30" i="72"/>
  <c r="E81" i="9"/>
  <c r="D4" i="52"/>
  <c r="B47" i="72"/>
  <c r="I4" i="52"/>
  <c r="C105" i="9"/>
  <c r="C96" i="9"/>
  <c r="E96" i="9"/>
  <c r="E97" i="9"/>
  <c r="F4" i="52"/>
  <c r="B51" i="72"/>
  <c r="C93" i="9"/>
  <c r="C86" i="9"/>
  <c r="D56" i="9"/>
  <c r="M54" i="9"/>
  <c r="B20" i="72"/>
  <c r="D5" i="53"/>
  <c r="D6" i="53"/>
  <c r="D8" i="52"/>
  <c r="H107" i="9"/>
  <c r="D122" i="9"/>
  <c r="D123" i="9"/>
  <c r="G4" i="52"/>
  <c r="B52" i="72"/>
  <c r="E4" i="52"/>
  <c r="B48" i="72"/>
  <c r="C68" i="9"/>
  <c r="D54" i="9"/>
  <c r="H119" i="9"/>
  <c r="H5" i="52"/>
  <c r="B53" i="72"/>
  <c r="C5" i="74"/>
  <c r="D59" i="9"/>
  <c r="M55" i="9"/>
  <c r="E118" i="9"/>
  <c r="D118" i="9"/>
  <c r="D119" i="9"/>
  <c r="D5" i="52"/>
  <c r="B49" i="72"/>
  <c r="D55" i="9"/>
  <c r="M53" i="9"/>
  <c r="C78" i="9"/>
  <c r="C73" i="9"/>
  <c r="H102" i="9"/>
  <c r="D7" i="53"/>
  <c r="B21" i="72"/>
  <c r="C80" i="9"/>
  <c r="E80" i="9"/>
  <c r="C72" i="9"/>
  <c r="C79" i="9"/>
  <c r="G118" i="9"/>
  <c r="F118" i="9"/>
  <c r="F119" i="9"/>
  <c r="F5" i="52"/>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<sst xmlns="http://schemas.openxmlformats.org/spreadsheetml/2006/main" count="7856" uniqueCount="3422">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</sst>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49" fontId="159" fillId="12" borderId="0" xfId="12" applyNumberFormat="1" applyFill="1" applyBorder="1" applyAlignment="1" applyProtection="1">
      <alignment horizontal="left"/>
      <protection locked="0"/>
    </xf>
    <xf numFmtId="49" fontId="159" fillId="0" borderId="0" xfId="12" applyNumberFormat="1" applyAlignment="1" applyProtection="1">
      <alignment horizontal="left"/>
      <protection locked="0"/>
    </xf>
    <xf numFmtId="1" fontId="159" fillId="12" borderId="0" xfId="12" applyNumberForma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2025年12月15日</v>
      </c>
    </row>
    <row r="13" spans="1:2" s="1203" customFormat="1">
      <c r="A13" s="1201" t="s">
        <v>529</v>
      </c>
      <c r="B13" s="1202"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4" t="s">
        <v>2580</v>
      </c>
      <c r="J2" s="3524"/>
      <c r="K2" s="3524"/>
      <c r="L2" s="3524"/>
      <c r="M2" s="3524"/>
      <c r="N2" s="3524"/>
      <c r="O2" s="3524"/>
      <c r="P2" s="3524"/>
      <c r="Q2" s="3524"/>
      <c r="R2" s="3524"/>
    </row>
    <row r="3" spans="1:18">
      <c r="A3" s="3020" t="s">
        <v>2501</v>
      </c>
      <c r="B3" s="3021">
        <f>项目基本情况!D3</f>
        <v>46006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1.01</v>
      </c>
      <c r="D5" s="3025">
        <f>IF(ISERROR(ROUND(POWER(1+E5,A5-C5)*(POWER(1+E5,C5)-1)/(POWER(1+E5,A5)-1),3)),0,ROUND(POWER(1+E5,A5-C5)*(POWER(1+E5,C5)-1)/(POWER(1+E5,A5)-1),4))</f>
        <v>4.9099999999999998E-2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11.01</v>
      </c>
      <c r="D6" s="3025">
        <f>IF(ISERROR(ROUND(POWER(1+E6,A6-C6)*(POWER(1+E6,C6)-1)/(POWER(1+E6,A6)-1),3)),0,ROUND(POWER(1+E6,A6-C6)*(POWER(1+E6,C6)-1)/(POWER(1+E6,A6)-1),4))</f>
        <v>0.40810000000000002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31.03</v>
      </c>
      <c r="D7" s="3025">
        <f>IF(ISERROR(ROUND(POWER(1+E7,A7-C7)*(POWER(1+E7,C7)-1)/(POWER(1+E7,A7)-1),3)),0,ROUND(POWER(1+E7,A7-C7)*(POWER(1+E7,C7)-1)/(POWER(1+E7,A7)-1),4))</f>
        <v>0.75219999999999998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5" t="str">
        <f>IF(B10="北京市","北京市",C10)&amp;F10&amp;IF(结果表!G1="在建","出让国有建设用地使用权及在建建筑物",IF(结果表!G1="土地","出让国有建设用地使用权",))&amp;B9&amp;"预评估"</f>
        <v>预评估</v>
      </c>
      <c r="C1" s="3526"/>
      <c r="D1" s="3526"/>
      <c r="E1" s="3526"/>
      <c r="F1" s="3526"/>
      <c r="G1" s="3526"/>
      <c r="H1" s="3526"/>
      <c r="I1" s="352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46006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8" t="s">
        <v>2177</v>
      </c>
      <c r="E8" s="2391"/>
      <c r="F8" s="2392"/>
      <c r="G8" s="2663"/>
      <c r="H8" s="2663"/>
      <c r="I8" s="2663"/>
      <c r="J8" s="2439"/>
      <c r="K8" s="2614"/>
      <c r="L8" s="2613"/>
      <c r="M8" s="2613"/>
      <c r="N8" s="2439"/>
      <c r="O8" s="2450"/>
      <c r="P8" s="2439"/>
      <c r="Q8" s="2439"/>
      <c r="R8" s="2439"/>
    </row>
    <row r="9" spans="1:30" ht="13.5" thickBot="1">
      <c r="A9" s="2393" t="s">
        <v>2178</v>
      </c>
      <c r="B9" s="2394"/>
      <c r="C9" s="2395"/>
      <c r="D9" s="3529"/>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5"/>
      <c r="C16" s="3536"/>
      <c r="D16" s="3537"/>
      <c r="E16" s="2413" t="s">
        <v>2194</v>
      </c>
      <c r="F16" s="3538"/>
      <c r="G16" s="3539"/>
      <c r="H16" s="3539"/>
      <c r="I16" s="3540"/>
      <c r="J16" s="2439"/>
      <c r="K16" s="2617"/>
      <c r="L16" s="2451"/>
      <c r="M16" s="2451"/>
      <c r="N16" s="2509"/>
      <c r="O16" s="2451"/>
      <c r="P16" s="2509"/>
      <c r="Q16" s="2439"/>
      <c r="R16" s="2439"/>
    </row>
    <row r="17" spans="1:28">
      <c r="A17" s="313" t="s">
        <v>2195</v>
      </c>
      <c r="B17" s="302" t="s">
        <v>2196</v>
      </c>
      <c r="C17" s="8">
        <f>'数据-汇总表'!E3</f>
        <v>0</v>
      </c>
      <c r="D17" s="2322" t="s">
        <v>2197</v>
      </c>
      <c r="E17" s="3541" t="s">
        <v>2198</v>
      </c>
      <c r="F17" s="3542"/>
      <c r="G17" s="3542"/>
      <c r="H17" s="3542"/>
      <c r="I17" s="3543"/>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4" t="s">
        <v>2202</v>
      </c>
      <c r="F18" s="3545"/>
      <c r="G18" s="3545"/>
      <c r="H18" s="3545"/>
      <c r="I18" s="354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1" t="s">
        <v>2206</v>
      </c>
      <c r="C20" s="3532"/>
      <c r="D20" s="3533" t="s">
        <v>2207</v>
      </c>
      <c r="E20" s="3534"/>
      <c r="F20" s="2647" t="s">
        <v>1056</v>
      </c>
      <c r="G20" s="2664"/>
      <c r="H20" s="2664"/>
      <c r="I20" s="2664"/>
      <c r="J20" s="2439"/>
      <c r="K20" s="353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9"/>
      <c r="B30" s="302" t="s">
        <v>2218</v>
      </c>
      <c r="C30" s="3550"/>
      <c r="D30" s="3551"/>
      <c r="E30" s="2664"/>
      <c r="F30" s="2664"/>
      <c r="G30" s="2664"/>
      <c r="H30" s="2664"/>
      <c r="I30" s="2664"/>
      <c r="J30" s="2439"/>
      <c r="K30" s="2616"/>
      <c r="L30" s="2613"/>
      <c r="M30" s="2613"/>
      <c r="N30" s="2439"/>
      <c r="O30" s="2450"/>
      <c r="P30" s="2439"/>
      <c r="Q30" s="2439"/>
      <c r="R30" s="2439"/>
      <c r="S30" s="2439"/>
      <c r="T30" s="2439"/>
      <c r="U30" s="2439"/>
      <c r="V30" s="2439"/>
    </row>
    <row r="31" spans="1:28">
      <c r="A31" s="355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7" t="s">
        <v>2228</v>
      </c>
      <c r="T34" s="2428" t="str">
        <f>NUMBERSTRING(7-K34,1)&amp;"通"</f>
        <v>七通</v>
      </c>
      <c r="U34" s="2439"/>
      <c r="V34" s="2439"/>
    </row>
    <row r="35" spans="1:30">
      <c r="A35" s="2429"/>
      <c r="B35" s="3554" t="s">
        <v>2229</v>
      </c>
      <c r="C35" s="3554"/>
      <c r="D35" s="3554"/>
      <c r="E35" s="355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71.819999999999993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46006</v>
      </c>
      <c r="C3" s="2686"/>
      <c r="D3" s="2686"/>
      <c r="E3" s="2686"/>
      <c r="F3" s="2686"/>
      <c r="G3" s="2687"/>
      <c r="H3" s="2688"/>
      <c r="I3" s="2688"/>
      <c r="J3" s="2688"/>
      <c r="K3" s="2688"/>
    </row>
    <row r="4" spans="1:11" ht="33">
      <c r="A4" s="2512" t="s">
        <v>661</v>
      </c>
      <c r="B4" s="2512" t="s">
        <v>660</v>
      </c>
      <c r="C4" s="2512" t="s">
        <v>659</v>
      </c>
      <c r="D4" s="2512" t="s">
        <v>658</v>
      </c>
      <c r="E4" s="2686"/>
      <c r="F4" s="3480"/>
      <c r="G4" s="3481"/>
      <c r="H4" s="2688"/>
      <c r="I4" s="2687" t="s">
        <v>3421</v>
      </c>
      <c r="J4" s="2688"/>
      <c r="K4" s="2688"/>
    </row>
    <row r="5" spans="1:11" ht="16.5">
      <c r="A5" s="2512" t="s">
        <v>657</v>
      </c>
      <c r="B5" s="2512">
        <f>SUM(D14:D23)</f>
        <v>122.09</v>
      </c>
      <c r="C5" s="2512">
        <f ca="1">IF(B5=D14,结果表!H102,ROUND(B5*10000/$B$1,0))</f>
        <v>25477</v>
      </c>
      <c r="D5" s="2512" t="e">
        <f>ROUND(B5*10000/$B$2,0)</f>
        <v>#DIV/0!</v>
      </c>
      <c r="E5" s="3478" t="s">
        <v>3417</v>
      </c>
      <c r="F5" s="2687">
        <v>130.44999999999999</v>
      </c>
      <c r="G5" s="2687"/>
      <c r="H5" s="2688"/>
      <c r="I5" s="3479">
        <f>ROUND((F5-B5)/F5,4)</f>
        <v>6.4100000000000004E-2</v>
      </c>
      <c r="J5" s="2688"/>
      <c r="K5" s="2688"/>
    </row>
    <row r="6" spans="1:11" ht="16.5">
      <c r="A6" s="2512" t="s">
        <v>656</v>
      </c>
      <c r="B6" s="2512">
        <f>SUM(G14:G23)</f>
        <v>122.09</v>
      </c>
      <c r="C6" s="2512">
        <f ca="1">IF(B6=G14,结果表!H108,ROUND(B6*10000/$B$1,0))</f>
        <v>25477</v>
      </c>
      <c r="D6" s="2512" t="e">
        <f>ROUND(B6*10000/$B$2,0)</f>
        <v>#DIV/0!</v>
      </c>
      <c r="E6" s="3478" t="s">
        <v>3418</v>
      </c>
      <c r="F6" s="3482">
        <f>F5*10000/B1</f>
        <v>18163.464216095796</v>
      </c>
      <c r="G6" s="3482"/>
      <c r="H6" s="3482"/>
      <c r="I6" s="3479">
        <f>ROUND((F6-E14)/F6,4)</f>
        <v>6.4100000000000004E-2</v>
      </c>
      <c r="J6" s="2688"/>
      <c r="K6" s="2688"/>
    </row>
    <row r="7" spans="1:11" ht="16.5">
      <c r="A7" s="2512" t="s">
        <v>664</v>
      </c>
      <c r="B7" s="2512">
        <f>SUM(H14:H23)</f>
        <v>0</v>
      </c>
      <c r="C7" s="2512" t="str">
        <f>IF(B7=H14,结果表!H110,ROUND(B7*10000/$B$1,0))</f>
        <v>——</v>
      </c>
      <c r="D7" s="2512" t="e">
        <f>ROUND(B7*10000/$B$2,0)</f>
        <v>#DIV/0!</v>
      </c>
      <c r="E7" s="3478" t="s">
        <v>3419</v>
      </c>
      <c r="F7" s="2687">
        <f>ROUND(F6/1.1,0)</f>
        <v>16512</v>
      </c>
      <c r="G7" s="2687"/>
      <c r="H7" s="2687"/>
      <c r="I7" s="2688"/>
      <c r="J7" s="2688"/>
      <c r="K7" s="2688"/>
    </row>
    <row r="8" spans="1:11" ht="16.5">
      <c r="A8" s="2512" t="s">
        <v>587</v>
      </c>
      <c r="B8" s="2512">
        <f>SUM(I14:I23)</f>
        <v>0</v>
      </c>
      <c r="C8" s="2512" t="str">
        <f>IF(B8=I14,结果表!H112,ROUND(B8*10000/$B$1,0))</f>
        <v>——</v>
      </c>
      <c r="D8" s="2512" t="e">
        <f>ROUND(B8*10000/$B$2,0)</f>
        <v>#DIV/0!</v>
      </c>
      <c r="E8" s="3478" t="s">
        <v>3420</v>
      </c>
      <c r="F8" s="2687">
        <f>ROUND(F5/1.1,2)</f>
        <v>118.59</v>
      </c>
      <c r="G8" s="3482"/>
      <c r="H8" s="2688"/>
      <c r="I8" s="2688"/>
      <c r="J8" s="2688"/>
      <c r="K8" s="2688"/>
    </row>
    <row r="9" spans="1:11" ht="16.5">
      <c r="A9" s="2512" t="s">
        <v>655</v>
      </c>
      <c r="B9" s="2520"/>
      <c r="C9" s="2686"/>
      <c r="D9" s="2686"/>
      <c r="E9" s="2686"/>
      <c r="F9" s="2687"/>
      <c r="G9" s="2687"/>
      <c r="H9" s="2688">
        <f>321.12*10000/B14</f>
        <v>44711.779448621557</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71.819999999999993</v>
      </c>
      <c r="C14" s="2518"/>
      <c r="D14" s="2518">
        <f>ROUND(E14*B14/10000,2)</f>
        <v>122.09</v>
      </c>
      <c r="E14" s="2518">
        <v>17000</v>
      </c>
      <c r="F14" s="2518" t="e">
        <f>ROUND(D14*10000/C14,0)</f>
        <v>#DIV/0!</v>
      </c>
      <c r="G14" s="2518">
        <f>D14</f>
        <v>122.09</v>
      </c>
      <c r="H14" s="2518"/>
      <c r="I14" s="2518"/>
      <c r="J14" s="2687"/>
      <c r="K14" s="2688"/>
    </row>
    <row r="15" spans="1:11" ht="16.5">
      <c r="A15" s="2517" t="s">
        <v>649</v>
      </c>
      <c r="B15" s="2519"/>
      <c r="C15" s="2519"/>
      <c r="D15" s="2518"/>
      <c r="E15" s="2518"/>
      <c r="F15" s="2518" t="e">
        <f t="shared" ref="F15:F23" si="0">ROUND(D15*10000/C15,0)</f>
        <v>#DIV/0!</v>
      </c>
      <c r="G15" s="2518"/>
      <c r="H15" s="1331"/>
      <c r="I15" s="2519"/>
      <c r="J15" s="2687"/>
      <c r="K15" s="2688"/>
    </row>
    <row r="16" spans="1:11" ht="16.5">
      <c r="A16" s="2517" t="s">
        <v>648</v>
      </c>
      <c r="B16" s="2519"/>
      <c r="C16" s="2519"/>
      <c r="D16" s="2518"/>
      <c r="E16" s="2518"/>
      <c r="F16" s="2518" t="e">
        <f t="shared" si="0"/>
        <v>#DIV/0!</v>
      </c>
      <c r="G16" s="2518"/>
      <c r="H16" s="1331"/>
      <c r="I16" s="2519"/>
      <c r="J16" s="2688"/>
      <c r="K16" s="2688"/>
    </row>
    <row r="17" spans="1:11" ht="16.5">
      <c r="A17" s="2517" t="s">
        <v>647</v>
      </c>
      <c r="B17" s="2519"/>
      <c r="C17" s="2519"/>
      <c r="D17" s="2519"/>
      <c r="E17" s="2518" t="e">
        <f t="shared" ref="E17:E23" si="1">ROUND(D17*10000/B17,0)</f>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9" t="str">
        <f>项目基本情况!S2</f>
        <v>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4" t="s">
        <v>1265</v>
      </c>
      <c r="B4" s="1755" t="s">
        <v>1266</v>
      </c>
      <c r="C4" s="1756"/>
      <c r="D4" s="1756"/>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7" t="s">
        <v>1268</v>
      </c>
      <c r="B5" s="3642">
        <v>25</v>
      </c>
      <c r="C5" s="3645"/>
      <c r="D5" s="3633"/>
      <c r="E5" s="131" t="s">
        <v>1269</v>
      </c>
      <c r="F5" s="1757"/>
      <c r="G5" s="1757"/>
      <c r="H5" s="1757"/>
      <c r="I5" s="1373"/>
    </row>
    <row r="6" spans="1:12" ht="12.75">
      <c r="A6" s="3587"/>
      <c r="B6" s="3642"/>
      <c r="C6" s="3647"/>
      <c r="D6" s="3633"/>
      <c r="E6" s="131" t="s">
        <v>1270</v>
      </c>
      <c r="F6" s="1757"/>
      <c r="G6" s="1757"/>
      <c r="H6" s="1757"/>
      <c r="I6" s="1373"/>
    </row>
    <row r="7" spans="1:12" ht="12.75">
      <c r="A7" s="3587"/>
      <c r="B7" s="3642"/>
      <c r="C7" s="3646"/>
      <c r="D7" s="3633"/>
      <c r="E7" s="131" t="s">
        <v>1271</v>
      </c>
      <c r="F7" s="1757"/>
      <c r="G7" s="1757"/>
      <c r="H7" s="1757"/>
      <c r="I7" s="1373"/>
    </row>
    <row r="8" spans="1:12" ht="12.75">
      <c r="A8" s="3587" t="s">
        <v>1272</v>
      </c>
      <c r="B8" s="3642">
        <v>15</v>
      </c>
      <c r="C8" s="3645"/>
      <c r="D8" s="3633"/>
      <c r="E8" s="131" t="s">
        <v>1273</v>
      </c>
      <c r="F8" s="1757"/>
      <c r="G8" s="1757"/>
      <c r="H8" s="1757"/>
      <c r="I8" s="1373"/>
    </row>
    <row r="9" spans="1:12" ht="12.75">
      <c r="A9" s="3587"/>
      <c r="B9" s="3642"/>
      <c r="C9" s="3646"/>
      <c r="D9" s="3633"/>
      <c r="E9" s="131" t="s">
        <v>1274</v>
      </c>
      <c r="F9" s="1757"/>
      <c r="G9" s="1757"/>
      <c r="H9" s="1757"/>
      <c r="I9" s="1373"/>
    </row>
    <row r="10" spans="1:12" ht="12.75">
      <c r="A10" s="3587" t="s">
        <v>1275</v>
      </c>
      <c r="B10" s="3642">
        <v>15</v>
      </c>
      <c r="C10" s="3645"/>
      <c r="D10" s="3633"/>
      <c r="E10" s="131" t="s">
        <v>1276</v>
      </c>
      <c r="F10" s="1757"/>
      <c r="G10" s="1757"/>
      <c r="H10" s="1757"/>
      <c r="I10" s="1373"/>
    </row>
    <row r="11" spans="1:12" ht="12.75">
      <c r="A11" s="3587"/>
      <c r="B11" s="3642"/>
      <c r="C11" s="3646"/>
      <c r="D11" s="3633"/>
      <c r="E11" s="131" t="s">
        <v>1277</v>
      </c>
      <c r="F11" s="1757"/>
      <c r="G11" s="1757"/>
      <c r="H11" s="1757"/>
      <c r="I11" s="1373"/>
    </row>
    <row r="12" spans="1:12" ht="12.75">
      <c r="A12" s="3587" t="s">
        <v>1278</v>
      </c>
      <c r="B12" s="3642">
        <v>15</v>
      </c>
      <c r="C12" s="3645"/>
      <c r="D12" s="3633"/>
      <c r="E12" s="131" t="s">
        <v>1279</v>
      </c>
      <c r="F12" s="1757"/>
      <c r="G12" s="1757"/>
      <c r="H12" s="1757"/>
      <c r="I12" s="1373"/>
    </row>
    <row r="13" spans="1:12" ht="12.75">
      <c r="A13" s="3587"/>
      <c r="B13" s="3642"/>
      <c r="C13" s="3646"/>
      <c r="D13" s="3633"/>
      <c r="E13" s="131" t="s">
        <v>1280</v>
      </c>
      <c r="F13" s="1757"/>
      <c r="G13" s="1757"/>
      <c r="H13" s="1757"/>
      <c r="I13" s="1373"/>
    </row>
    <row r="14" spans="1:12" ht="12.75">
      <c r="A14" s="3587" t="s">
        <v>1281</v>
      </c>
      <c r="B14" s="3642">
        <v>30</v>
      </c>
      <c r="C14" s="3645"/>
      <c r="D14" s="3633"/>
      <c r="E14" s="131" t="s">
        <v>1282</v>
      </c>
      <c r="F14" s="1757"/>
      <c r="G14" s="1757"/>
      <c r="H14" s="1757"/>
      <c r="I14" s="1373"/>
    </row>
    <row r="15" spans="1:12" ht="12.75">
      <c r="A15" s="3587"/>
      <c r="B15" s="3642"/>
      <c r="C15" s="3647"/>
      <c r="D15" s="3633"/>
      <c r="E15" s="131" t="s">
        <v>1283</v>
      </c>
      <c r="F15" s="1757"/>
      <c r="G15" s="1757"/>
      <c r="H15" s="1757"/>
      <c r="I15" s="1373"/>
    </row>
    <row r="16" spans="1:12" ht="12.75">
      <c r="A16" s="3587"/>
      <c r="B16" s="3642"/>
      <c r="C16" s="3646"/>
      <c r="D16" s="3633"/>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4" t="s">
        <v>2131</v>
      </c>
      <c r="F18" s="3665"/>
      <c r="G18" s="3665"/>
      <c r="H18" s="3665"/>
      <c r="I18" s="3665"/>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7" t="s">
        <v>1299</v>
      </c>
      <c r="B24" s="1762" t="s">
        <v>1291</v>
      </c>
      <c r="C24" s="136">
        <f>IF(B30=0,0,D30)</f>
        <v>0</v>
      </c>
      <c r="D24" s="1769"/>
      <c r="E24" s="129"/>
      <c r="F24" s="129"/>
      <c r="G24" s="129"/>
      <c r="H24" s="129"/>
      <c r="I24" s="129"/>
    </row>
    <row r="25" spans="1:36" ht="14.25">
      <c r="A25" s="36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4" t="s">
        <v>1312</v>
      </c>
      <c r="B36" s="1787" t="s">
        <v>1313</v>
      </c>
      <c r="C36" s="145"/>
      <c r="D36" s="1788"/>
      <c r="E36" s="1789"/>
      <c r="F36" s="1790"/>
      <c r="G36" s="129"/>
      <c r="H36" s="129"/>
      <c r="I36" s="129"/>
    </row>
    <row r="37" spans="1:15" ht="15.75" thickBot="1">
      <c r="A37" s="3635"/>
      <c r="B37" s="1674" t="s">
        <v>1314</v>
      </c>
      <c r="C37" s="147"/>
      <c r="D37" s="1139"/>
      <c r="E37" s="1139"/>
      <c r="F37" s="1790"/>
      <c r="G37" s="129"/>
      <c r="H37" s="129"/>
      <c r="I37" s="129"/>
    </row>
    <row r="38" spans="1:15" ht="15.75" thickBot="1">
      <c r="A38" s="363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4" t="s">
        <v>1326</v>
      </c>
      <c r="B45" s="3655"/>
      <c r="C45" s="3656"/>
      <c r="D45" s="155" t="e">
        <f ca="1">ROUND(H101*F45,0)</f>
        <v>#REF!</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6"/>
      <c r="I46" s="159"/>
      <c r="J46" s="2523">
        <v>1</v>
      </c>
      <c r="K46" s="3575" t="s">
        <v>1331</v>
      </c>
      <c r="L46" s="3575"/>
      <c r="M46" s="3576"/>
      <c r="N46" s="3576"/>
      <c r="O46" s="3576"/>
    </row>
    <row r="47" spans="1:15" ht="12" customHeight="1">
      <c r="A47" s="160" t="s">
        <v>1332</v>
      </c>
      <c r="B47" s="161"/>
      <c r="C47" s="162"/>
      <c r="D47" s="1087" t="s">
        <v>1333</v>
      </c>
      <c r="E47" s="302" t="s">
        <v>1334</v>
      </c>
      <c r="F47" s="163" t="s">
        <v>1335</v>
      </c>
      <c r="G47" s="2546" t="s">
        <v>1336</v>
      </c>
      <c r="H47" s="2547"/>
      <c r="I47" s="159"/>
      <c r="J47" s="2523">
        <v>2</v>
      </c>
      <c r="K47" s="3575" t="s">
        <v>1337</v>
      </c>
      <c r="L47" s="3575"/>
      <c r="M47" s="3577">
        <f>'数据-取费表'!B2</f>
        <v>46006</v>
      </c>
      <c r="N47" s="3577"/>
      <c r="O47" s="3577"/>
    </row>
    <row r="48" spans="1:15" ht="25.5">
      <c r="A48" s="3637" t="s">
        <v>1338</v>
      </c>
      <c r="B48" s="3638"/>
      <c r="C48" s="363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5" t="s">
        <v>1340</v>
      </c>
      <c r="L48" s="3575"/>
      <c r="M48" s="3578" t="e">
        <f ca="1">H101</f>
        <v>#REF!</v>
      </c>
      <c r="N48" s="3578"/>
      <c r="O48" s="3578"/>
    </row>
    <row r="49" spans="1:35" ht="25.5" customHeight="1">
      <c r="A49" s="2333" t="s">
        <v>1341</v>
      </c>
      <c r="B49" s="3623" t="s">
        <v>1342</v>
      </c>
      <c r="C49" s="3623"/>
      <c r="D49" s="1590">
        <v>0</v>
      </c>
      <c r="E49" s="324" t="s">
        <v>1343</v>
      </c>
      <c r="F49" s="2424" t="s">
        <v>28</v>
      </c>
      <c r="G49" s="3606"/>
      <c r="H49" s="2310" t="s">
        <v>2134</v>
      </c>
      <c r="I49" s="2311"/>
      <c r="J49" s="2523">
        <v>4</v>
      </c>
      <c r="K49" s="3575" t="str">
        <f>IF(项目基本情况!E8="房地产抵押价值","房地产抵押价值","抵押担保权已注销时的房地产抵押价值")</f>
        <v>抵押担保权已注销时的房地产抵押价值</v>
      </c>
      <c r="L49" s="3575"/>
      <c r="M49" s="3578" t="str">
        <f>IF(项目基本情况!E8="房地产抵押价值",H107,H109)</f>
        <v>——</v>
      </c>
      <c r="N49" s="3578"/>
      <c r="O49" s="3578"/>
    </row>
    <row r="50" spans="1:35" ht="25.5" customHeight="1">
      <c r="A50" s="2551"/>
      <c r="B50" s="3623" t="s">
        <v>1344</v>
      </c>
      <c r="C50" s="3623"/>
      <c r="D50" s="2552"/>
      <c r="E50" s="332"/>
      <c r="F50" s="2424"/>
      <c r="G50" s="3607"/>
      <c r="H50" s="2312" t="s">
        <v>2135</v>
      </c>
      <c r="I50" s="2311"/>
      <c r="J50" s="3574" t="s">
        <v>1345</v>
      </c>
      <c r="K50" s="3574"/>
      <c r="L50" s="3574"/>
      <c r="M50" s="3574"/>
      <c r="N50" s="3574"/>
      <c r="O50" s="3574"/>
    </row>
    <row r="51" spans="1:35" ht="20.45" customHeight="1">
      <c r="A51" s="2553"/>
      <c r="B51" s="3623" t="s">
        <v>1346</v>
      </c>
      <c r="C51" s="3623"/>
      <c r="D51" s="1087"/>
      <c r="E51" s="327"/>
      <c r="F51" s="2424"/>
      <c r="G51" s="3608"/>
      <c r="H51" s="2312" t="s">
        <v>2136</v>
      </c>
      <c r="I51" s="2311"/>
      <c r="J51" s="2524" t="s">
        <v>1347</v>
      </c>
      <c r="K51" s="3575" t="s">
        <v>1348</v>
      </c>
      <c r="L51" s="3575"/>
      <c r="M51" s="2524" t="s">
        <v>1349</v>
      </c>
      <c r="N51" s="2524" t="s">
        <v>1350</v>
      </c>
      <c r="O51" s="2524" t="s">
        <v>1351</v>
      </c>
    </row>
    <row r="52" spans="1:35" ht="24" customHeight="1">
      <c r="A52" s="2335" t="s">
        <v>1352</v>
      </c>
      <c r="B52" s="3623" t="s">
        <v>1353</v>
      </c>
      <c r="C52" s="3623"/>
      <c r="D52" s="1087" t="e">
        <f ca="1">ROUND(D45*'数据-取费表'!B41/(1+'数据-取费表'!C42),0)</f>
        <v>#REF!</v>
      </c>
      <c r="E52" s="2334" t="s">
        <v>1354</v>
      </c>
      <c r="F52" s="2554">
        <f>'数据-取费表'!B41</f>
        <v>0</v>
      </c>
      <c r="G52" s="2555"/>
      <c r="H52" s="2544"/>
      <c r="I52" s="1807"/>
      <c r="J52" s="2523">
        <v>1</v>
      </c>
      <c r="K52" s="3600" t="s">
        <v>1355</v>
      </c>
      <c r="L52" s="3600"/>
      <c r="M52" s="2525" t="b">
        <f>D48</f>
        <v>0</v>
      </c>
      <c r="N52" s="2523" t="str">
        <f>E48</f>
        <v>销售额×税（费）率</v>
      </c>
      <c r="O52" s="2526">
        <f>F48</f>
        <v>0</v>
      </c>
    </row>
    <row r="53" spans="1:35" ht="12" customHeight="1">
      <c r="A53" s="2335" t="s">
        <v>1356</v>
      </c>
      <c r="B53" s="3624" t="s">
        <v>2291</v>
      </c>
      <c r="C53" s="3625"/>
      <c r="D53" s="1087" t="e">
        <f ca="1">ROUND(D45*'数据-取费表'!B41/(1+'数据-取费表'!C42),0)</f>
        <v>#REF!</v>
      </c>
      <c r="E53" s="2334" t="s">
        <v>1354</v>
      </c>
      <c r="F53" s="2554">
        <f>'数据-取费表'!B41</f>
        <v>0</v>
      </c>
      <c r="G53" s="2555"/>
      <c r="H53" s="2544"/>
      <c r="I53" s="1807"/>
      <c r="J53" s="2523">
        <v>2</v>
      </c>
      <c r="K53" s="3600" t="s">
        <v>1357</v>
      </c>
      <c r="L53" s="3600"/>
      <c r="M53" s="2525" t="e">
        <f t="shared" ref="M53:O54" ca="1" si="0">D55</f>
        <v>#REF!</v>
      </c>
      <c r="N53" s="2523" t="str">
        <f t="shared" si="0"/>
        <v>销售额×税（费）率</v>
      </c>
      <c r="O53" s="2526" t="str">
        <f t="shared" si="0"/>
        <v>免征</v>
      </c>
    </row>
    <row r="54" spans="1:35" ht="12" customHeight="1">
      <c r="A54" s="2335" t="s">
        <v>1358</v>
      </c>
      <c r="B54" s="3624" t="s">
        <v>2292</v>
      </c>
      <c r="C54" s="3625"/>
      <c r="D54" s="1087" t="e">
        <f ca="1">C68</f>
        <v>#REF!</v>
      </c>
      <c r="E54" s="327" t="s">
        <v>1359</v>
      </c>
      <c r="F54" s="2554">
        <f>'数据-取费表'!B41</f>
        <v>0</v>
      </c>
      <c r="G54" s="2555"/>
      <c r="H54" s="2556"/>
      <c r="I54" s="1807"/>
      <c r="J54" s="2523">
        <v>3</v>
      </c>
      <c r="K54" s="3600" t="s">
        <v>1360</v>
      </c>
      <c r="L54" s="3600"/>
      <c r="M54" s="2525" t="e">
        <f t="shared" ca="1" si="0"/>
        <v>#REF!</v>
      </c>
      <c r="N54" s="2523" t="str">
        <f t="shared" si="0"/>
        <v>增值额×税（费）率</v>
      </c>
      <c r="O54" s="2527" t="str">
        <f t="shared" si="0"/>
        <v>免征</v>
      </c>
    </row>
    <row r="55" spans="1:35" ht="24" customHeight="1">
      <c r="A55" s="3660" t="s">
        <v>1361</v>
      </c>
      <c r="B55" s="3638"/>
      <c r="C55" s="3638"/>
      <c r="D55" s="2324" t="e">
        <f ca="1">IF(H55="个人住宅",0,ROUND(D45*I55,0))</f>
        <v>#REF!</v>
      </c>
      <c r="E55" s="2334" t="s">
        <v>1362</v>
      </c>
      <c r="F55" s="2554" t="str">
        <f>IF(H55="正常",I55,"免征")</f>
        <v>免征</v>
      </c>
      <c r="G55" s="2555"/>
      <c r="H55" s="2550"/>
      <c r="I55" s="165">
        <f>'数据-取费表'!B49</f>
        <v>0</v>
      </c>
      <c r="J55" s="2523">
        <f>IF(H59="非个人房产","",4)</f>
        <v>4</v>
      </c>
      <c r="K55" s="3600" t="str">
        <f>IF(H59="非个人房产","——","个人所得税")</f>
        <v>个人所得税</v>
      </c>
      <c r="L55" s="3600"/>
      <c r="M55" s="2528" t="e">
        <f ca="1">D59</f>
        <v>#REF!</v>
      </c>
      <c r="N55" s="2040" t="str">
        <f>E59</f>
        <v>差额计税</v>
      </c>
      <c r="O55" s="2529">
        <f>F59</f>
        <v>0.01</v>
      </c>
    </row>
    <row r="56" spans="1:35" ht="24.75">
      <c r="A56" s="3660" t="s">
        <v>1363</v>
      </c>
      <c r="B56" s="3638"/>
      <c r="C56" s="3638"/>
      <c r="D56" s="2324" t="e">
        <f ca="1">IF(H56="个人住宅",D57,D58)</f>
        <v>#REF!</v>
      </c>
      <c r="E56" s="2334" t="s">
        <v>1364</v>
      </c>
      <c r="F56" s="2554" t="str">
        <f>IF(H56="正常",F58,"免征")</f>
        <v>免征</v>
      </c>
      <c r="G56" s="2557" t="s">
        <v>1365</v>
      </c>
      <c r="H56" s="2558"/>
      <c r="I56" s="1808"/>
      <c r="J56" s="2523" t="str">
        <f>IF(项目基本情况!K6="上海银行",IF(J55="",4,J55+1),"")</f>
        <v/>
      </c>
      <c r="K56" s="3581" t="str">
        <f>IF(项目基本情况!K6="上海银行","其他处置费用","")</f>
        <v/>
      </c>
      <c r="L56" s="3582"/>
      <c r="M56" s="2525" t="str">
        <f>IF(项目基本情况!K6="上海银行",M69,"")</f>
        <v/>
      </c>
      <c r="N56" s="3581" t="str">
        <f>IF(项目基本情况!K6="上海银行","包含处置中涉及的律师、诉讼、拍卖、评估等费用","")</f>
        <v/>
      </c>
      <c r="O56" s="3584"/>
    </row>
    <row r="57" spans="1:35" ht="12.75">
      <c r="A57" s="2335" t="s">
        <v>1341</v>
      </c>
      <c r="B57" s="3624" t="s">
        <v>1366</v>
      </c>
      <c r="C57" s="3625"/>
      <c r="D57" s="1590">
        <v>0</v>
      </c>
      <c r="E57" s="324" t="s">
        <v>1343</v>
      </c>
      <c r="F57" s="302"/>
      <c r="G57" s="2555"/>
      <c r="H57" s="2559"/>
      <c r="I57" s="1808"/>
      <c r="J57" s="3600">
        <f>IF(AND(J55="",J56=""),4,IF(项目基本情况!K6="上海银行",结果表!J56+1,结果表!J55+1))</f>
        <v>5</v>
      </c>
      <c r="K57" s="3600" t="s">
        <v>1367</v>
      </c>
      <c r="L57" s="2530" t="s">
        <v>1368</v>
      </c>
      <c r="M57" s="2531"/>
      <c r="N57" s="2532">
        <f ca="1">SUMIF(M52:M56,"&lt;9e307")</f>
        <v>0</v>
      </c>
      <c r="O57" s="2533"/>
      <c r="P57" s="2690" t="e">
        <f ca="1">N57/M49</f>
        <v>#VALUE!</v>
      </c>
    </row>
    <row r="58" spans="1:35" ht="24.75">
      <c r="A58" s="2335" t="s">
        <v>1352</v>
      </c>
      <c r="B58" s="3624" t="s">
        <v>1369</v>
      </c>
      <c r="C58" s="3623"/>
      <c r="D58" s="2324" t="e">
        <f ca="1">IF(H58="转让取得",C81,C97)</f>
        <v>#REF!</v>
      </c>
      <c r="E58" s="2334" t="s">
        <v>1364</v>
      </c>
      <c r="F58" s="302" t="s">
        <v>28</v>
      </c>
      <c r="G58" s="2555"/>
      <c r="H58" s="2558"/>
      <c r="I58" s="1808"/>
      <c r="J58" s="3600"/>
      <c r="K58" s="3600"/>
      <c r="L58" s="2530" t="s">
        <v>1370</v>
      </c>
      <c r="M58" s="2534"/>
      <c r="N58" s="2535" t="str">
        <f ca="1">NUMBERSTRING(INT(N57*10000),2)&amp;"元整"</f>
        <v>零元整</v>
      </c>
      <c r="O58" s="2536"/>
    </row>
    <row r="59" spans="1:35" ht="24.75" thickBot="1">
      <c r="A59" s="3604" t="s">
        <v>1371</v>
      </c>
      <c r="B59" s="3605"/>
      <c r="C59" s="360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2">
        <f>J57+1</f>
        <v>6</v>
      </c>
      <c r="K59" s="3600" t="s">
        <v>1372</v>
      </c>
      <c r="L59" s="2523" t="s">
        <v>1368</v>
      </c>
      <c r="M59" s="2537"/>
      <c r="N59" s="2538" t="e">
        <f ca="1">M49-N57</f>
        <v>#VALUE!</v>
      </c>
      <c r="O59" s="2539"/>
    </row>
    <row r="60" spans="1:35" ht="12" customHeight="1">
      <c r="A60" s="1809"/>
      <c r="B60" s="1747"/>
      <c r="C60" s="1747"/>
      <c r="D60" s="1747"/>
      <c r="E60" s="1578"/>
      <c r="F60" s="1808"/>
      <c r="G60" s="1808"/>
      <c r="H60" s="1810"/>
      <c r="I60" s="129"/>
      <c r="J60" s="3603"/>
      <c r="K60" s="3600"/>
      <c r="L60" s="2530" t="s">
        <v>1370</v>
      </c>
      <c r="M60" s="2534"/>
      <c r="N60" s="2535" t="e">
        <f ca="1">NUMBERSTRING(INT(N59*10000),2)&amp;"元整"</f>
        <v>#VALUE!</v>
      </c>
      <c r="O60" s="2536"/>
    </row>
    <row r="61" spans="1:35" ht="13.5" thickBot="1">
      <c r="A61" s="3659" t="s">
        <v>1373</v>
      </c>
      <c r="B61" s="3659"/>
      <c r="C61" s="3659"/>
      <c r="D61" s="3659"/>
      <c r="E61" s="3659"/>
      <c r="F61" s="1808"/>
      <c r="G61" s="1808"/>
      <c r="H61" s="1810"/>
      <c r="I61" s="129"/>
      <c r="J61" s="2523">
        <f>J59+1</f>
        <v>7</v>
      </c>
      <c r="K61" s="3600" t="s">
        <v>1374</v>
      </c>
      <c r="L61" s="3600"/>
      <c r="M61" s="2540"/>
      <c r="N61" s="2541" t="e">
        <f ca="1">ROUND(N59*10000/'数据-汇总表'!E3,0)</f>
        <v>#VALUE!</v>
      </c>
      <c r="O61" s="2542"/>
    </row>
    <row r="62" spans="1:35" ht="12.75">
      <c r="A62" s="3619" t="s">
        <v>1375</v>
      </c>
      <c r="B62" s="362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1394</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9" t="s">
        <v>1375</v>
      </c>
      <c r="B71" s="362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4" t="s">
        <v>1402</v>
      </c>
      <c r="F76" s="3623"/>
      <c r="G76" s="3623"/>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6" t="s">
        <v>1406</v>
      </c>
      <c r="F78" s="3617"/>
      <c r="G78" s="3617"/>
      <c r="H78" s="361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1410</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9" t="s">
        <v>1375</v>
      </c>
      <c r="B84" s="362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5" t="s">
        <v>2129</v>
      </c>
      <c r="H90" s="358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6" t="s">
        <v>1419</v>
      </c>
      <c r="F91" s="3617"/>
      <c r="G91" s="361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6" t="s">
        <v>1422</v>
      </c>
      <c r="F92" s="3617"/>
      <c r="G92" s="3617"/>
      <c r="H92" s="361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6" t="s">
        <v>1406</v>
      </c>
      <c r="F93" s="3617"/>
      <c r="G93" s="3617"/>
      <c r="H93" s="361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1" t="s">
        <v>1426</v>
      </c>
      <c r="F94" s="3662"/>
      <c r="G94" s="3662"/>
      <c r="H94" s="36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5">
        <f>C4</f>
        <v>0</v>
      </c>
      <c r="D101" s="2586">
        <f>D4</f>
        <v>0</v>
      </c>
      <c r="E101" s="3579" t="s">
        <v>1431</v>
      </c>
      <c r="F101" s="3580"/>
      <c r="G101" s="1827" t="s">
        <v>1432</v>
      </c>
      <c r="H101" s="2595" t="e">
        <f ca="1">H118</f>
        <v>#REF!</v>
      </c>
      <c r="I101" s="129"/>
    </row>
    <row r="102" spans="1:35" ht="18.75" customHeight="1">
      <c r="A102" s="3611" t="s">
        <v>1433</v>
      </c>
      <c r="B102" s="2584" t="s">
        <v>1432</v>
      </c>
      <c r="C102" s="2585" t="e">
        <f ca="1">IF(D32="楼面单价",ROUND(C19,0),C19)</f>
        <v>#REF!</v>
      </c>
      <c r="D102" s="2586" t="e">
        <f ca="1">IF(D32="楼面单价",ROUND(D19,0),D19)</f>
        <v>#REF!</v>
      </c>
      <c r="E102" s="3579"/>
      <c r="F102" s="3580"/>
      <c r="G102" s="1827" t="s">
        <v>1434</v>
      </c>
      <c r="H102" s="2555" t="e">
        <f ca="1">I118</f>
        <v>#REF!</v>
      </c>
      <c r="I102" s="129"/>
    </row>
    <row r="103" spans="1:35" ht="42.75" customHeight="1">
      <c r="A103" s="3611"/>
      <c r="B103" s="2584" t="s">
        <v>1434</v>
      </c>
      <c r="C103" s="2587" t="e">
        <f ca="1">C20</f>
        <v>#REF!</v>
      </c>
      <c r="D103" s="2588" t="e">
        <f ca="1">D20</f>
        <v>#REF!</v>
      </c>
      <c r="E103" s="3572" t="s">
        <v>1435</v>
      </c>
      <c r="F103" s="3573"/>
      <c r="G103" s="1828" t="s">
        <v>1436</v>
      </c>
      <c r="H103" s="2595">
        <f>IF(D36="正常操作",H104+H105+H106,H105+H106)</f>
        <v>0</v>
      </c>
      <c r="I103" s="129"/>
    </row>
    <row r="104" spans="1:35" ht="18.75" customHeight="1">
      <c r="A104" s="361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580"/>
      <c r="G107" s="1827" t="s">
        <v>1432</v>
      </c>
      <c r="H107" s="2595" t="e">
        <f ca="1">IF(E107="——","——",H101-H103)</f>
        <v>#REF!</v>
      </c>
      <c r="I107" s="129"/>
    </row>
    <row r="108" spans="1:35" ht="18.75" customHeight="1">
      <c r="A108" s="129"/>
      <c r="B108" s="129"/>
      <c r="C108" s="129"/>
      <c r="D108" s="129"/>
      <c r="E108" s="3612"/>
      <c r="F108" s="3580"/>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7" t="s">
        <v>1432</v>
      </c>
      <c r="H109" s="2598" t="str">
        <f>IF(E109="——","——",H101-H105-H106)</f>
        <v>——</v>
      </c>
      <c r="I109" s="129"/>
    </row>
    <row r="110" spans="1:35" ht="18.75" customHeight="1">
      <c r="A110" s="129"/>
      <c r="B110" s="129"/>
      <c r="C110" s="129"/>
      <c r="D110" s="129"/>
      <c r="E110" s="3612"/>
      <c r="F110" s="3580"/>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7" t="s">
        <v>1452</v>
      </c>
      <c r="B119" s="3587"/>
      <c r="C119" s="3587"/>
      <c r="D119" s="3593" t="e">
        <f ca="1">NUMBERSTRING(INT(D118*10000),2)&amp;"元整"</f>
        <v>#REF!</v>
      </c>
      <c r="E119" s="3594"/>
      <c r="F119" s="3593" t="e">
        <f ca="1">NUMBERSTRING(INT(F118*10000),2)&amp;"元整"</f>
        <v>#REF!</v>
      </c>
      <c r="G119" s="3594"/>
      <c r="H119" s="3593" t="e">
        <f ca="1">NUMBERSTRING(INT(H118*10000),2)&amp;"元整"</f>
        <v>#REF!</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5"/>
      <c r="C121" s="3594"/>
      <c r="D121" s="3593" t="str">
        <f>IF(D120=0,"零元整",NUMBERSTRING(INT(D120*10000),2)&amp;"元整")</f>
        <v>零元整</v>
      </c>
      <c r="E121" s="3595"/>
      <c r="F121" s="3595"/>
      <c r="G121" s="3595"/>
      <c r="H121" s="3595"/>
      <c r="I121" s="3594"/>
      <c r="AA121" s="725"/>
    </row>
    <row r="122" spans="1:27" ht="18.75" customHeight="1">
      <c r="A122" s="3599" t="str">
        <f>IF(项目基本情况!B9="房地产市场价值","",MID(E107,3,LEN(E107)-2))</f>
        <v>房地产抵押价值</v>
      </c>
      <c r="B122" s="3599"/>
      <c r="C122" s="3599"/>
      <c r="D122" s="3588" t="e">
        <f ca="1">H107</f>
        <v>#REF!</v>
      </c>
      <c r="E122" s="3589"/>
      <c r="F122" s="3589"/>
      <c r="G122" s="3589"/>
      <c r="H122" s="3589"/>
      <c r="I122" s="3590"/>
      <c r="AA122" s="725"/>
    </row>
    <row r="123" spans="1:27" ht="18.75" customHeight="1">
      <c r="A123" s="3587" t="s">
        <v>1452</v>
      </c>
      <c r="B123" s="3587"/>
      <c r="C123" s="3587"/>
      <c r="D123" s="3593" t="e">
        <f ca="1">NUMBERSTRING(INT(D122*10000),2)&amp;"元整"</f>
        <v>#REF!</v>
      </c>
      <c r="E123" s="3595"/>
      <c r="F123" s="3595"/>
      <c r="G123" s="3595"/>
      <c r="H123" s="3595"/>
      <c r="I123" s="3594"/>
      <c r="AA123" s="725"/>
    </row>
    <row r="124" spans="1:27" ht="18.75" customHeight="1">
      <c r="A124" s="3599" t="str">
        <f>IF(项目基本情况!B9="房地产市场价值","",MID(E109,3,LEN(E109)-2))</f>
        <v/>
      </c>
      <c r="B124" s="3599"/>
      <c r="C124" s="3599"/>
      <c r="D124" s="3588" t="str">
        <f>H109</f>
        <v>——</v>
      </c>
      <c r="E124" s="3589"/>
      <c r="F124" s="3589"/>
      <c r="G124" s="3589"/>
      <c r="H124" s="3589"/>
      <c r="I124" s="3590"/>
      <c r="AA124" s="725"/>
    </row>
    <row r="125" spans="1:27" ht="18.75" customHeight="1">
      <c r="A125" s="3587" t="s">
        <v>1452</v>
      </c>
      <c r="B125" s="3587"/>
      <c r="C125" s="3587"/>
      <c r="D125" s="3593" t="e">
        <f>NUMBERSTRING(INT(D124*10000),2)&amp;"元整"</f>
        <v>#VALUE!</v>
      </c>
      <c r="E125" s="3595"/>
      <c r="F125" s="3595"/>
      <c r="G125" s="3595"/>
      <c r="H125" s="3595"/>
      <c r="I125" s="3594"/>
      <c r="AA125" s="725"/>
    </row>
    <row r="126" spans="1:27" ht="18.75" customHeight="1">
      <c r="A126" s="3599" t="str">
        <f>IF(项目基本情况!B9="房地产市场价值","",MID(E111,3,LEN(E111)-2))</f>
        <v/>
      </c>
      <c r="B126" s="3599"/>
      <c r="C126" s="3599"/>
      <c r="D126" s="3588" t="str">
        <f>H111</f>
        <v>——</v>
      </c>
      <c r="E126" s="3589"/>
      <c r="F126" s="3589"/>
      <c r="G126" s="3589"/>
      <c r="H126" s="3589"/>
      <c r="I126" s="3590"/>
      <c r="AA126" s="725"/>
    </row>
    <row r="127" spans="1:27" ht="18.75" customHeight="1">
      <c r="A127" s="3587" t="s">
        <v>1452</v>
      </c>
      <c r="B127" s="3587"/>
      <c r="C127" s="3587"/>
      <c r="D127" s="3593" t="e">
        <f>NUMBERSTRING(INT(D126*10000),2)&amp;"元整"</f>
        <v>#VALUE!</v>
      </c>
      <c r="E127" s="3595"/>
      <c r="F127" s="3595"/>
      <c r="G127" s="3595"/>
      <c r="H127" s="3595"/>
      <c r="I127" s="3594"/>
      <c r="AA127" s="725"/>
    </row>
    <row r="128" spans="1:27" ht="21.75" customHeight="1">
      <c r="A128" s="3596" t="s">
        <v>1453</v>
      </c>
      <c r="B128" s="3596"/>
      <c r="C128" s="3596"/>
      <c r="D128" s="3596"/>
      <c r="E128" s="3596"/>
      <c r="F128" s="3596"/>
      <c r="G128" s="3596"/>
      <c r="H128" s="3596"/>
      <c r="I128" s="359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6" t="s">
        <v>1544</v>
      </c>
    </row>
    <row r="43" spans="1:7" ht="13.5" customHeight="1">
      <c r="A43" s="780" t="s">
        <v>347</v>
      </c>
      <c r="B43" s="215" t="s">
        <v>1545</v>
      </c>
      <c r="C43" s="238" t="e">
        <f ca="1">ROUND(IF('数据-取费表'!B22&lt;=1,C39*F22*'数据-取费表'!B21/2,C39*(POWER((1+F22),'数据-取费表'!B21/2)-1)),0)</f>
        <v>#VALUE!</v>
      </c>
      <c r="D43" s="238"/>
      <c r="E43" s="238"/>
      <c r="F43" s="239"/>
      <c r="G43" s="3667"/>
    </row>
    <row r="44" spans="1:7" ht="13.5" customHeight="1">
      <c r="A44" s="780" t="s">
        <v>348</v>
      </c>
      <c r="B44" s="215" t="s">
        <v>1546</v>
      </c>
      <c r="C44" s="238" t="e">
        <f ca="1">ROUND(IF('数据-取费表'!B22&lt;=1,C40*F22*'数据-取费表'!B21/2,C40*(POWER((1+F22),'数据-取费表'!B21/2)-1)),4)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6" t="s">
        <v>1591</v>
      </c>
    </row>
    <row r="43" spans="1:7" ht="13.5" customHeight="1">
      <c r="A43" s="780" t="s">
        <v>347</v>
      </c>
      <c r="B43" s="215" t="s">
        <v>1545</v>
      </c>
      <c r="C43" s="238" t="e">
        <f ca="1">ROUND(IF('数据-取费表'!B22&lt;=1,C39*F22*'数据-取费表'!B20/2,C39*(POWER((1+F22),'数据-取费表'!B20/2)-1)),0)</f>
        <v>#VALUE!</v>
      </c>
      <c r="D43" s="238"/>
      <c r="E43" s="238"/>
      <c r="F43" s="239"/>
      <c r="G43" s="3667"/>
    </row>
    <row r="44" spans="1:7" ht="13.5" customHeight="1">
      <c r="A44" s="780" t="s">
        <v>348</v>
      </c>
      <c r="B44" s="215" t="s">
        <v>1546</v>
      </c>
      <c r="C44" s="238" t="e">
        <f ca="1">ROUND(IF('数据-取费表'!B22&lt;=1,C40*F22*'数据-取费表'!B20/2,C40*(POWER((1+F22),'数据-取费表'!B20/2)-1)),4)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4" t="s">
        <v>2317</v>
      </c>
      <c r="K2" s="367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6" t="s">
        <v>2327</v>
      </c>
      <c r="K3" s="367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6" t="s">
        <v>2329</v>
      </c>
      <c r="K4" s="367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8" t="s">
        <v>2333</v>
      </c>
      <c r="B6" s="3679"/>
      <c r="C6" s="3680"/>
      <c r="D6" s="2870"/>
      <c r="E6" s="2871"/>
      <c r="F6" s="2872"/>
      <c r="G6" s="2873"/>
      <c r="H6" s="2848"/>
      <c r="I6" s="2849"/>
      <c r="J6" s="3681">
        <v>1</v>
      </c>
      <c r="K6" s="368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81"/>
      <c r="K7" s="368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5" t="s">
        <v>2347</v>
      </c>
      <c r="C8" s="3686"/>
      <c r="D8" s="2889" t="s">
        <v>2348</v>
      </c>
      <c r="E8" s="2890" t="s">
        <v>2349</v>
      </c>
      <c r="F8" s="2891" t="s">
        <v>2350</v>
      </c>
      <c r="G8" s="2892"/>
      <c r="H8" s="2848"/>
      <c r="I8" s="2849"/>
      <c r="J8" s="3681"/>
      <c r="K8" s="368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5" t="s">
        <v>2353</v>
      </c>
      <c r="C9" s="3686"/>
      <c r="D9" s="2889">
        <f>ROUND(D6*E9,0)</f>
        <v>0</v>
      </c>
      <c r="E9" s="2893"/>
      <c r="F9" s="2894" t="s">
        <v>2354</v>
      </c>
      <c r="G9" s="2873"/>
      <c r="H9" s="2848"/>
      <c r="I9" s="2849"/>
      <c r="J9" s="3681"/>
      <c r="K9" s="3683"/>
      <c r="L9" s="2883" t="s">
        <v>2355</v>
      </c>
      <c r="M9" s="2884"/>
      <c r="N9" s="2860"/>
      <c r="O9" s="2885"/>
      <c r="P9" s="2885"/>
      <c r="Q9" s="2886">
        <v>365</v>
      </c>
      <c r="R9" s="2887">
        <f t="shared" si="0"/>
        <v>0</v>
      </c>
      <c r="S9" s="2841"/>
      <c r="T9" s="2841"/>
      <c r="U9" s="2841"/>
      <c r="V9" s="2849"/>
    </row>
    <row r="10" spans="1:22" s="2853" customFormat="1" ht="13.15" customHeight="1">
      <c r="A10" s="2888">
        <v>2</v>
      </c>
      <c r="B10" s="3685" t="s">
        <v>2356</v>
      </c>
      <c r="C10" s="3686"/>
      <c r="D10" s="2889">
        <f>ROUND(D6*E10,0)</f>
        <v>0</v>
      </c>
      <c r="E10" s="2893"/>
      <c r="F10" s="2894" t="s">
        <v>2357</v>
      </c>
      <c r="G10" s="2873"/>
      <c r="H10" s="2848"/>
      <c r="I10" s="2849"/>
      <c r="J10" s="3681"/>
      <c r="K10" s="3683"/>
      <c r="L10" s="2883" t="s">
        <v>2358</v>
      </c>
      <c r="M10" s="2884"/>
      <c r="N10" s="2860"/>
      <c r="O10" s="2885"/>
      <c r="P10" s="2885"/>
      <c r="Q10" s="2886">
        <v>365</v>
      </c>
      <c r="R10" s="2887">
        <f t="shared" si="0"/>
        <v>0</v>
      </c>
      <c r="S10" s="2841"/>
      <c r="T10" s="2841"/>
      <c r="U10" s="2841"/>
      <c r="V10" s="2849"/>
    </row>
    <row r="11" spans="1:22" s="2853" customFormat="1" ht="13.15" customHeight="1">
      <c r="A11" s="2888">
        <v>3</v>
      </c>
      <c r="B11" s="3685" t="s">
        <v>2359</v>
      </c>
      <c r="C11" s="3686"/>
      <c r="D11" s="2889">
        <f>D12+D14+D15+D16</f>
        <v>0</v>
      </c>
      <c r="E11" s="2895" t="e">
        <f>D11/D6</f>
        <v>#DIV/0!</v>
      </c>
      <c r="F11" s="2891"/>
      <c r="G11" s="2892"/>
      <c r="H11" s="2848"/>
      <c r="I11" s="2849"/>
      <c r="J11" s="3681"/>
      <c r="K11" s="368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7" t="s">
        <v>2362</v>
      </c>
      <c r="C12" s="3688"/>
      <c r="D12" s="2897">
        <f>ROUND(D13*1.2%*(1-30%),0)</f>
        <v>0</v>
      </c>
      <c r="E12" s="2898">
        <v>1.2E-2</v>
      </c>
      <c r="F12" s="2891" t="s">
        <v>2363</v>
      </c>
      <c r="G12" s="2892"/>
      <c r="H12" s="2848"/>
      <c r="I12" s="2849"/>
      <c r="J12" s="3681"/>
      <c r="K12" s="368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81"/>
      <c r="K13" s="368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7" t="s">
        <v>2368</v>
      </c>
      <c r="C14" s="3688"/>
      <c r="D14" s="2897">
        <f>ROUND(E14*B5/10000,0)</f>
        <v>0</v>
      </c>
      <c r="E14" s="2886"/>
      <c r="F14" s="2891" t="s">
        <v>2369</v>
      </c>
      <c r="G14" s="2892"/>
      <c r="H14" s="2848"/>
      <c r="I14" s="2849"/>
      <c r="J14" s="3681"/>
      <c r="K14" s="368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7" t="s">
        <v>2372</v>
      </c>
      <c r="C15" s="3688"/>
      <c r="D15" s="2897">
        <f>ROUND(D6*E15,0)</f>
        <v>0</v>
      </c>
      <c r="E15" s="2898">
        <v>5.5E-2</v>
      </c>
      <c r="F15" s="2891" t="s">
        <v>2373</v>
      </c>
      <c r="G15" s="2873"/>
      <c r="H15" s="2848"/>
      <c r="I15" s="2849"/>
      <c r="J15" s="3681">
        <v>2</v>
      </c>
      <c r="K15" s="368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7" t="s">
        <v>2381</v>
      </c>
      <c r="C16" s="3688"/>
      <c r="D16" s="2908">
        <f>D6*E16</f>
        <v>0</v>
      </c>
      <c r="E16" s="2909"/>
      <c r="F16" s="2894" t="s">
        <v>2382</v>
      </c>
      <c r="G16" s="2873"/>
      <c r="H16" s="2848"/>
      <c r="I16" s="2849"/>
      <c r="J16" s="3681"/>
      <c r="K16" s="368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2384</v>
      </c>
      <c r="C17" s="3690"/>
      <c r="D17" s="2911">
        <f>ROUND(D6*E17,0)</f>
        <v>0</v>
      </c>
      <c r="E17" s="2912"/>
      <c r="F17" s="2913" t="s">
        <v>2385</v>
      </c>
      <c r="G17" s="2873"/>
      <c r="H17" s="2848"/>
      <c r="I17" s="2849"/>
      <c r="J17" s="3681"/>
      <c r="K17" s="368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81"/>
      <c r="K18" s="368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81"/>
      <c r="K19" s="368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1">
        <v>3</v>
      </c>
      <c r="K20" s="368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81"/>
      <c r="K21" s="368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81"/>
      <c r="K22" s="368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81"/>
      <c r="K23" s="368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81"/>
      <c r="K24" s="368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9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9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4" t="s">
        <v>2317</v>
      </c>
      <c r="K32" s="367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6" t="s">
        <v>2327</v>
      </c>
      <c r="K33" s="367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6" t="s">
        <v>2329</v>
      </c>
      <c r="K34" s="367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81">
        <v>1</v>
      </c>
      <c r="K36" s="368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81"/>
      <c r="K37" s="368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1"/>
      <c r="K38" s="368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81"/>
      <c r="K39" s="368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81"/>
      <c r="K40" s="368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1">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9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00" t="s">
        <v>1668</v>
      </c>
      <c r="S4" s="3701"/>
      <c r="T4" s="3700" t="s">
        <v>1669</v>
      </c>
      <c r="U4" s="3701"/>
      <c r="V4" s="3725" t="s">
        <v>1670</v>
      </c>
      <c r="W4" s="3725"/>
      <c r="X4" s="1355"/>
      <c r="Y4" s="3700" t="s">
        <v>1672</v>
      </c>
      <c r="Z4" s="3701"/>
      <c r="AA4" s="3695" t="s">
        <v>1668</v>
      </c>
      <c r="AB4" s="3695" t="s">
        <v>1669</v>
      </c>
      <c r="AC4" s="3695" t="s">
        <v>1670</v>
      </c>
    </row>
    <row r="5" spans="1:29" ht="15">
      <c r="A5" s="358"/>
      <c r="B5" s="359"/>
      <c r="C5" s="3706" t="s">
        <v>1673</v>
      </c>
      <c r="D5" s="3707"/>
      <c r="E5" s="3704" t="s">
        <v>1674</v>
      </c>
      <c r="F5" s="3705"/>
      <c r="G5" s="3706" t="s">
        <v>1675</v>
      </c>
      <c r="H5" s="3707"/>
      <c r="I5" s="3706" t="s">
        <v>1676</v>
      </c>
      <c r="J5" s="3707"/>
      <c r="K5" s="1890"/>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1890"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8" t="s">
        <v>1680</v>
      </c>
      <c r="Q7" s="3726"/>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4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9" t="s">
        <v>1691</v>
      </c>
      <c r="Q15" s="1352" t="str">
        <f t="shared" si="6"/>
        <v>居住社区成熟度</v>
      </c>
      <c r="R15" s="705" t="s">
        <v>18</v>
      </c>
      <c r="S15" s="706">
        <f t="shared" si="0"/>
        <v>100</v>
      </c>
      <c r="T15" s="705" t="s">
        <v>18</v>
      </c>
      <c r="U15" s="706">
        <f t="shared" si="1"/>
        <v>100</v>
      </c>
      <c r="V15" s="705" t="s">
        <v>18</v>
      </c>
      <c r="W15" s="706">
        <f t="shared" si="2"/>
        <v>100</v>
      </c>
      <c r="X15" s="1355"/>
      <c r="Y15" s="373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0"/>
      <c r="Q16" s="1352"/>
      <c r="R16" s="705"/>
      <c r="S16" s="706"/>
      <c r="T16" s="705"/>
      <c r="U16" s="706"/>
      <c r="V16" s="705"/>
      <c r="W16" s="706"/>
      <c r="X16" s="1355"/>
      <c r="Y16" s="373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0"/>
      <c r="Q17" s="1352" t="str">
        <f>B17</f>
        <v>交通便捷度</v>
      </c>
      <c r="R17" s="705" t="s">
        <v>18</v>
      </c>
      <c r="S17" s="706">
        <f>F17</f>
        <v>100</v>
      </c>
      <c r="T17" s="705" t="s">
        <v>18</v>
      </c>
      <c r="U17" s="706">
        <f>H17</f>
        <v>100</v>
      </c>
      <c r="V17" s="705" t="s">
        <v>18</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0"/>
      <c r="Q19" s="1352" t="str">
        <f>B19</f>
        <v>公共配套设施</v>
      </c>
      <c r="R19" s="705" t="s">
        <v>18</v>
      </c>
      <c r="S19" s="706">
        <f>F19</f>
        <v>100</v>
      </c>
      <c r="T19" s="705" t="s">
        <v>18</v>
      </c>
      <c r="U19" s="706">
        <f>H19</f>
        <v>100</v>
      </c>
      <c r="V19" s="705" t="s">
        <v>18</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0"/>
      <c r="Q22" s="1352"/>
      <c r="R22" s="705"/>
      <c r="S22" s="706"/>
      <c r="T22" s="705"/>
      <c r="U22" s="706"/>
      <c r="V22" s="705"/>
      <c r="W22" s="706"/>
      <c r="X22" s="1355"/>
      <c r="Y22" s="373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0"/>
      <c r="Q23" s="1352" t="str">
        <f>B23</f>
        <v>自然及人文环境</v>
      </c>
      <c r="R23" s="705" t="s">
        <v>18</v>
      </c>
      <c r="S23" s="706">
        <f>F23</f>
        <v>100</v>
      </c>
      <c r="T23" s="705" t="s">
        <v>18</v>
      </c>
      <c r="U23" s="706">
        <f>H23</f>
        <v>100</v>
      </c>
      <c r="V23" s="705" t="s">
        <v>18</v>
      </c>
      <c r="W23" s="706">
        <f>J23</f>
        <v>100</v>
      </c>
      <c r="X23" s="1355"/>
      <c r="Y23" s="373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0"/>
      <c r="Q26" s="1352" t="str">
        <f t="shared" si="11"/>
        <v>朝向</v>
      </c>
      <c r="R26" s="705" t="s">
        <v>18</v>
      </c>
      <c r="S26" s="706">
        <f t="shared" si="12"/>
        <v>100</v>
      </c>
      <c r="T26" s="705" t="s">
        <v>18</v>
      </c>
      <c r="U26" s="706">
        <f t="shared" si="13"/>
        <v>100</v>
      </c>
      <c r="V26" s="705" t="s">
        <v>18</v>
      </c>
      <c r="W26" s="706">
        <f t="shared" si="14"/>
        <v>100</v>
      </c>
      <c r="X26" s="1355"/>
      <c r="Y26" s="373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0"/>
      <c r="Q27" s="1343">
        <f t="shared" si="11"/>
        <v>111</v>
      </c>
      <c r="R27" s="701" t="s">
        <v>18</v>
      </c>
      <c r="S27" s="702">
        <f t="shared" si="12"/>
        <v>100</v>
      </c>
      <c r="T27" s="701" t="s">
        <v>18</v>
      </c>
      <c r="U27" s="702">
        <f t="shared" si="13"/>
        <v>100</v>
      </c>
      <c r="V27" s="701" t="s">
        <v>18</v>
      </c>
      <c r="W27" s="702">
        <f t="shared" si="14"/>
        <v>100</v>
      </c>
      <c r="X27" s="703"/>
      <c r="Y27" s="373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0"/>
      <c r="Q28" s="1352">
        <f t="shared" si="11"/>
        <v>111</v>
      </c>
      <c r="R28" s="705" t="s">
        <v>18</v>
      </c>
      <c r="S28" s="706">
        <f t="shared" si="12"/>
        <v>100</v>
      </c>
      <c r="T28" s="705" t="s">
        <v>18</v>
      </c>
      <c r="U28" s="706">
        <f t="shared" si="13"/>
        <v>100</v>
      </c>
      <c r="V28" s="705" t="s">
        <v>18</v>
      </c>
      <c r="W28" s="706">
        <f t="shared" si="14"/>
        <v>100</v>
      </c>
      <c r="X28" s="1355"/>
      <c r="Y28" s="373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0"/>
      <c r="Q29" s="1352">
        <f t="shared" si="11"/>
        <v>111</v>
      </c>
      <c r="R29" s="705" t="s">
        <v>18</v>
      </c>
      <c r="S29" s="706">
        <f t="shared" si="12"/>
        <v>100</v>
      </c>
      <c r="T29" s="705" t="s">
        <v>18</v>
      </c>
      <c r="U29" s="706">
        <f t="shared" si="13"/>
        <v>100</v>
      </c>
      <c r="V29" s="705" t="s">
        <v>18</v>
      </c>
      <c r="W29" s="706">
        <f t="shared" si="14"/>
        <v>100</v>
      </c>
      <c r="X29" s="1355"/>
      <c r="Y29" s="373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0"/>
      <c r="Q30" s="1352">
        <f t="shared" si="11"/>
        <v>111</v>
      </c>
      <c r="R30" s="705" t="s">
        <v>18</v>
      </c>
      <c r="S30" s="706">
        <f t="shared" si="12"/>
        <v>100</v>
      </c>
      <c r="T30" s="705" t="s">
        <v>18</v>
      </c>
      <c r="U30" s="706">
        <f t="shared" si="13"/>
        <v>100</v>
      </c>
      <c r="V30" s="705" t="s">
        <v>18</v>
      </c>
      <c r="W30" s="706">
        <f t="shared" si="14"/>
        <v>100</v>
      </c>
      <c r="X30" s="1355"/>
      <c r="Y30" s="373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0"/>
      <c r="Q31" s="1352">
        <f t="shared" si="11"/>
        <v>111</v>
      </c>
      <c r="R31" s="705" t="s">
        <v>18</v>
      </c>
      <c r="S31" s="706">
        <f t="shared" si="12"/>
        <v>100</v>
      </c>
      <c r="T31" s="705" t="s">
        <v>18</v>
      </c>
      <c r="U31" s="706">
        <f t="shared" si="13"/>
        <v>100</v>
      </c>
      <c r="V31" s="705" t="s">
        <v>18</v>
      </c>
      <c r="W31" s="706">
        <f t="shared" si="14"/>
        <v>100</v>
      </c>
      <c r="X31" s="1355"/>
      <c r="Y31" s="373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4" t="s">
        <v>1696</v>
      </c>
      <c r="Q32" s="1352" t="str">
        <f t="shared" si="11"/>
        <v>建筑类型</v>
      </c>
      <c r="R32" s="705" t="s">
        <v>18</v>
      </c>
      <c r="S32" s="706">
        <f t="shared" si="12"/>
        <v>100</v>
      </c>
      <c r="T32" s="705" t="s">
        <v>18</v>
      </c>
      <c r="U32" s="706">
        <f t="shared" si="13"/>
        <v>100</v>
      </c>
      <c r="V32" s="705" t="s">
        <v>18</v>
      </c>
      <c r="W32" s="706">
        <f t="shared" si="14"/>
        <v>100</v>
      </c>
      <c r="X32" s="1355"/>
      <c r="Y32" s="373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5"/>
      <c r="Q33" s="707" t="str">
        <f t="shared" si="11"/>
        <v>项目建筑规模</v>
      </c>
      <c r="R33" s="708" t="s">
        <v>18</v>
      </c>
      <c r="S33" s="709" t="e">
        <f t="shared" si="12"/>
        <v>#N/A</v>
      </c>
      <c r="T33" s="708" t="s">
        <v>18</v>
      </c>
      <c r="U33" s="709" t="e">
        <f t="shared" si="13"/>
        <v>#N/A</v>
      </c>
      <c r="V33" s="708" t="s">
        <v>18</v>
      </c>
      <c r="W33" s="709" t="e">
        <f t="shared" si="14"/>
        <v>#N/A</v>
      </c>
      <c r="X33" s="710"/>
      <c r="Y33" s="373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5"/>
      <c r="Q34" s="1352" t="str">
        <f t="shared" si="11"/>
        <v>建筑结构</v>
      </c>
      <c r="R34" s="705" t="s">
        <v>18</v>
      </c>
      <c r="S34" s="706">
        <f t="shared" si="12"/>
        <v>100</v>
      </c>
      <c r="T34" s="705" t="s">
        <v>18</v>
      </c>
      <c r="U34" s="706">
        <f t="shared" si="13"/>
        <v>100</v>
      </c>
      <c r="V34" s="705" t="s">
        <v>18</v>
      </c>
      <c r="W34" s="706">
        <f t="shared" si="14"/>
        <v>100</v>
      </c>
      <c r="X34" s="1355"/>
      <c r="Y34" s="373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5"/>
      <c r="Q35" s="1352" t="str">
        <f t="shared" si="11"/>
        <v>建筑品质</v>
      </c>
      <c r="R35" s="705" t="s">
        <v>18</v>
      </c>
      <c r="S35" s="706">
        <f t="shared" si="12"/>
        <v>100</v>
      </c>
      <c r="T35" s="705" t="s">
        <v>18</v>
      </c>
      <c r="U35" s="706">
        <f t="shared" si="13"/>
        <v>100</v>
      </c>
      <c r="V35" s="705" t="s">
        <v>18</v>
      </c>
      <c r="W35" s="706">
        <f t="shared" si="14"/>
        <v>100</v>
      </c>
      <c r="X35" s="1355"/>
      <c r="Y35" s="373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5"/>
      <c r="Q36" s="1352" t="str">
        <f t="shared" si="11"/>
        <v>公共部分装修</v>
      </c>
      <c r="R36" s="705" t="s">
        <v>18</v>
      </c>
      <c r="S36" s="706">
        <f t="shared" si="12"/>
        <v>100</v>
      </c>
      <c r="T36" s="705" t="s">
        <v>18</v>
      </c>
      <c r="U36" s="706">
        <f t="shared" si="13"/>
        <v>100</v>
      </c>
      <c r="V36" s="705" t="s">
        <v>18</v>
      </c>
      <c r="W36" s="706">
        <f t="shared" si="14"/>
        <v>100</v>
      </c>
      <c r="X36" s="1355"/>
      <c r="Y36" s="373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5"/>
      <c r="Q37" s="1343" t="str">
        <f t="shared" si="11"/>
        <v>成新度</v>
      </c>
      <c r="R37" s="701" t="s">
        <v>18</v>
      </c>
      <c r="S37" s="702" t="e">
        <f t="shared" si="12"/>
        <v>#N/A</v>
      </c>
      <c r="T37" s="701" t="s">
        <v>18</v>
      </c>
      <c r="U37" s="702" t="e">
        <f t="shared" si="13"/>
        <v>#N/A</v>
      </c>
      <c r="V37" s="701" t="s">
        <v>18</v>
      </c>
      <c r="W37" s="702" t="e">
        <f t="shared" si="14"/>
        <v>#N/A</v>
      </c>
      <c r="X37" s="703"/>
      <c r="Y37" s="373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5" t="s">
        <v>1696</v>
      </c>
      <c r="Q38" s="1352" t="str">
        <f t="shared" si="11"/>
        <v>物业管理</v>
      </c>
      <c r="R38" s="705" t="s">
        <v>18</v>
      </c>
      <c r="S38" s="706">
        <f t="shared" si="12"/>
        <v>100</v>
      </c>
      <c r="T38" s="705" t="s">
        <v>18</v>
      </c>
      <c r="U38" s="706">
        <f t="shared" si="13"/>
        <v>100</v>
      </c>
      <c r="V38" s="705" t="s">
        <v>18</v>
      </c>
      <c r="W38" s="706">
        <f t="shared" si="14"/>
        <v>100</v>
      </c>
      <c r="X38" s="1355"/>
      <c r="Y38" s="373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5"/>
      <c r="Q39" s="1352" t="str">
        <f t="shared" si="11"/>
        <v>市政基础设施</v>
      </c>
      <c r="R39" s="705" t="s">
        <v>18</v>
      </c>
      <c r="S39" s="706">
        <f t="shared" si="12"/>
        <v>100</v>
      </c>
      <c r="T39" s="705" t="s">
        <v>18</v>
      </c>
      <c r="U39" s="706">
        <f t="shared" si="13"/>
        <v>100</v>
      </c>
      <c r="V39" s="705" t="s">
        <v>18</v>
      </c>
      <c r="W39" s="706">
        <f t="shared" si="14"/>
        <v>100</v>
      </c>
      <c r="X39" s="1355"/>
      <c r="Y39" s="373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5"/>
      <c r="Q40" s="1352" t="str">
        <f t="shared" si="11"/>
        <v>房型</v>
      </c>
      <c r="R40" s="705" t="s">
        <v>18</v>
      </c>
      <c r="S40" s="706">
        <f t="shared" si="12"/>
        <v>100</v>
      </c>
      <c r="T40" s="705" t="s">
        <v>18</v>
      </c>
      <c r="U40" s="706">
        <f t="shared" si="13"/>
        <v>100</v>
      </c>
      <c r="V40" s="705" t="s">
        <v>18</v>
      </c>
      <c r="W40" s="706">
        <f t="shared" si="14"/>
        <v>100</v>
      </c>
      <c r="X40" s="1355"/>
      <c r="Y40" s="373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5"/>
      <c r="Q41" s="707" t="str">
        <f t="shared" si="11"/>
        <v>单套/主力户型建筑面积</v>
      </c>
      <c r="R41" s="708" t="s">
        <v>18</v>
      </c>
      <c r="S41" s="709">
        <f t="shared" si="12"/>
        <v>100</v>
      </c>
      <c r="T41" s="708" t="s">
        <v>18</v>
      </c>
      <c r="U41" s="709">
        <f t="shared" si="13"/>
        <v>100</v>
      </c>
      <c r="V41" s="708" t="s">
        <v>18</v>
      </c>
      <c r="W41" s="709">
        <f t="shared" si="14"/>
        <v>100</v>
      </c>
      <c r="X41" s="710"/>
      <c r="Y41" s="373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5"/>
      <c r="Q42" s="1352" t="str">
        <f t="shared" si="11"/>
        <v>内部装修</v>
      </c>
      <c r="R42" s="705" t="s">
        <v>18</v>
      </c>
      <c r="S42" s="706">
        <f t="shared" si="12"/>
        <v>100</v>
      </c>
      <c r="T42" s="705" t="s">
        <v>18</v>
      </c>
      <c r="U42" s="706">
        <f t="shared" si="13"/>
        <v>100</v>
      </c>
      <c r="V42" s="705" t="s">
        <v>18</v>
      </c>
      <c r="W42" s="706">
        <f t="shared" si="14"/>
        <v>100</v>
      </c>
      <c r="X42" s="1355"/>
      <c r="Y42" s="373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5"/>
      <c r="Q43" s="1352" t="str">
        <f t="shared" si="11"/>
        <v>内部装修维护情况</v>
      </c>
      <c r="R43" s="705" t="s">
        <v>18</v>
      </c>
      <c r="S43" s="706">
        <f t="shared" si="12"/>
        <v>100</v>
      </c>
      <c r="T43" s="705" t="s">
        <v>18</v>
      </c>
      <c r="U43" s="706">
        <f t="shared" si="13"/>
        <v>100</v>
      </c>
      <c r="V43" s="705" t="s">
        <v>18</v>
      </c>
      <c r="W43" s="706">
        <f t="shared" si="14"/>
        <v>100</v>
      </c>
      <c r="X43" s="1355"/>
      <c r="Y43" s="373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5"/>
      <c r="Q44" s="1343">
        <f t="shared" si="11"/>
        <v>111</v>
      </c>
      <c r="R44" s="701" t="s">
        <v>18</v>
      </c>
      <c r="S44" s="702">
        <f t="shared" si="12"/>
        <v>100</v>
      </c>
      <c r="T44" s="701" t="s">
        <v>18</v>
      </c>
      <c r="U44" s="702">
        <f t="shared" si="13"/>
        <v>100</v>
      </c>
      <c r="V44" s="701" t="s">
        <v>18</v>
      </c>
      <c r="W44" s="702">
        <f t="shared" si="14"/>
        <v>100</v>
      </c>
      <c r="X44" s="703"/>
      <c r="Y44" s="373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5"/>
      <c r="Q45" s="1352">
        <f t="shared" si="11"/>
        <v>111</v>
      </c>
      <c r="R45" s="705" t="s">
        <v>18</v>
      </c>
      <c r="S45" s="706">
        <f t="shared" si="12"/>
        <v>100</v>
      </c>
      <c r="T45" s="705" t="s">
        <v>18</v>
      </c>
      <c r="U45" s="706">
        <f t="shared" si="13"/>
        <v>100</v>
      </c>
      <c r="V45" s="705" t="s">
        <v>18</v>
      </c>
      <c r="W45" s="706">
        <f t="shared" si="14"/>
        <v>100</v>
      </c>
      <c r="X45" s="1355"/>
      <c r="Y45" s="373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6"/>
      <c r="Q46" s="1352">
        <f t="shared" si="11"/>
        <v>111</v>
      </c>
      <c r="R46" s="705" t="s">
        <v>17</v>
      </c>
      <c r="S46" s="706">
        <f t="shared" si="12"/>
        <v>100</v>
      </c>
      <c r="T46" s="705" t="s">
        <v>17</v>
      </c>
      <c r="U46" s="706">
        <f t="shared" si="13"/>
        <v>100</v>
      </c>
      <c r="V46" s="705" t="s">
        <v>17</v>
      </c>
      <c r="W46" s="706">
        <f t="shared" si="14"/>
        <v>100</v>
      </c>
      <c r="X46" s="1355"/>
      <c r="Y46" s="373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0" t="str">
        <f>A47</f>
        <v>成交单价（元/平方米）</v>
      </c>
      <c r="Q47" s="3730"/>
      <c r="R47" s="3731">
        <f>E47</f>
        <v>0</v>
      </c>
      <c r="S47" s="3731"/>
      <c r="T47" s="3731">
        <f>G47</f>
        <v>0</v>
      </c>
      <c r="U47" s="3731"/>
      <c r="V47" s="3731">
        <f>I47</f>
        <v>0</v>
      </c>
      <c r="W47" s="373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725"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725"/>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725"/>
      <c r="AC6" s="3697"/>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9" t="s">
        <v>1691</v>
      </c>
      <c r="Q15" s="1352" t="str">
        <f t="shared" si="6"/>
        <v>商业繁华度</v>
      </c>
      <c r="R15" s="705" t="s">
        <v>14</v>
      </c>
      <c r="S15" s="706">
        <f t="shared" si="0"/>
        <v>100</v>
      </c>
      <c r="T15" s="705" t="s">
        <v>14</v>
      </c>
      <c r="U15" s="706">
        <f t="shared" si="1"/>
        <v>100</v>
      </c>
      <c r="V15" s="705" t="s">
        <v>14</v>
      </c>
      <c r="W15" s="706">
        <f t="shared" si="2"/>
        <v>100</v>
      </c>
      <c r="X15" s="1355"/>
      <c r="Y15" s="373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0"/>
      <c r="Q22" s="1352"/>
      <c r="R22" s="705"/>
      <c r="S22" s="706"/>
      <c r="T22" s="705"/>
      <c r="U22" s="706"/>
      <c r="V22" s="705"/>
      <c r="W22" s="706"/>
      <c r="X22" s="1355"/>
      <c r="Y22" s="373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0"/>
      <c r="Q23" s="1352" t="str">
        <f>B23</f>
        <v>自然及人文环境</v>
      </c>
      <c r="R23" s="705" t="s">
        <v>14</v>
      </c>
      <c r="S23" s="706">
        <f>F23</f>
        <v>100</v>
      </c>
      <c r="T23" s="705" t="s">
        <v>14</v>
      </c>
      <c r="U23" s="706">
        <f>H23</f>
        <v>100</v>
      </c>
      <c r="V23" s="705" t="s">
        <v>14</v>
      </c>
      <c r="W23" s="706">
        <f>J23</f>
        <v>100</v>
      </c>
      <c r="X23" s="1355"/>
      <c r="Y23" s="373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0"/>
      <c r="Q25" s="1352" t="str">
        <f t="shared" ref="Q25:Q46" si="11">B25</f>
        <v>临街状况</v>
      </c>
      <c r="R25" s="705" t="s">
        <v>14</v>
      </c>
      <c r="S25" s="706">
        <f>F25</f>
        <v>100</v>
      </c>
      <c r="T25" s="705" t="s">
        <v>14</v>
      </c>
      <c r="U25" s="706">
        <f>H25</f>
        <v>100</v>
      </c>
      <c r="V25" s="705" t="s">
        <v>14</v>
      </c>
      <c r="W25" s="706">
        <f>J25</f>
        <v>100</v>
      </c>
      <c r="X25" s="1355"/>
      <c r="Y25" s="373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0"/>
      <c r="Q26" s="1352" t="str">
        <f t="shared" si="11"/>
        <v>平面位置/可视性</v>
      </c>
      <c r="R26" s="705" t="s">
        <v>14</v>
      </c>
      <c r="S26" s="706">
        <f>F26</f>
        <v>100</v>
      </c>
      <c r="T26" s="705" t="s">
        <v>14</v>
      </c>
      <c r="U26" s="706">
        <f>H26</f>
        <v>100</v>
      </c>
      <c r="V26" s="705" t="s">
        <v>14</v>
      </c>
      <c r="W26" s="706">
        <f>J26</f>
        <v>100</v>
      </c>
      <c r="X26" s="1355"/>
      <c r="Y26" s="373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0"/>
      <c r="Q27" s="1343" t="str">
        <f t="shared" si="11"/>
        <v>人流量</v>
      </c>
      <c r="R27" s="701" t="s">
        <v>14</v>
      </c>
      <c r="S27" s="702">
        <f>F27</f>
        <v>100</v>
      </c>
      <c r="T27" s="701" t="s">
        <v>14</v>
      </c>
      <c r="U27" s="702">
        <f>H27</f>
        <v>100</v>
      </c>
      <c r="V27" s="701" t="s">
        <v>14</v>
      </c>
      <c r="W27" s="702">
        <f>J27</f>
        <v>100</v>
      </c>
      <c r="X27" s="703"/>
      <c r="Y27" s="373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0"/>
      <c r="Q29" s="1352">
        <f t="shared" si="11"/>
        <v>111</v>
      </c>
      <c r="R29" s="705" t="s">
        <v>14</v>
      </c>
      <c r="S29" s="706">
        <f t="shared" si="12"/>
        <v>100</v>
      </c>
      <c r="T29" s="705" t="s">
        <v>14</v>
      </c>
      <c r="U29" s="706">
        <f t="shared" si="13"/>
        <v>100</v>
      </c>
      <c r="V29" s="705" t="s">
        <v>14</v>
      </c>
      <c r="W29" s="706">
        <f t="shared" si="14"/>
        <v>100</v>
      </c>
      <c r="X29" s="1355"/>
      <c r="Y29" s="373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4" t="s">
        <v>1696</v>
      </c>
      <c r="Q32" s="1352" t="str">
        <f t="shared" si="11"/>
        <v>商业类型</v>
      </c>
      <c r="R32" s="705" t="s">
        <v>14</v>
      </c>
      <c r="S32" s="706">
        <f t="shared" si="12"/>
        <v>100</v>
      </c>
      <c r="T32" s="705" t="s">
        <v>14</v>
      </c>
      <c r="U32" s="706">
        <f t="shared" si="13"/>
        <v>100</v>
      </c>
      <c r="V32" s="705" t="s">
        <v>14</v>
      </c>
      <c r="W32" s="706">
        <f t="shared" si="14"/>
        <v>100</v>
      </c>
      <c r="X32" s="1355"/>
      <c r="Y32" s="373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5"/>
      <c r="Q33" s="707" t="str">
        <f t="shared" si="11"/>
        <v>项目建筑规模</v>
      </c>
      <c r="R33" s="708" t="s">
        <v>14</v>
      </c>
      <c r="S33" s="709" t="e">
        <f t="shared" si="12"/>
        <v>#N/A</v>
      </c>
      <c r="T33" s="708" t="s">
        <v>14</v>
      </c>
      <c r="U33" s="709" t="e">
        <f t="shared" si="13"/>
        <v>#N/A</v>
      </c>
      <c r="V33" s="708" t="s">
        <v>14</v>
      </c>
      <c r="W33" s="709" t="e">
        <f t="shared" si="14"/>
        <v>#N/A</v>
      </c>
      <c r="X33" s="710"/>
      <c r="Y33" s="373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5"/>
      <c r="Q34" s="1352" t="str">
        <f t="shared" si="11"/>
        <v>建筑结构</v>
      </c>
      <c r="R34" s="705" t="s">
        <v>14</v>
      </c>
      <c r="S34" s="706">
        <f t="shared" si="12"/>
        <v>100</v>
      </c>
      <c r="T34" s="705" t="s">
        <v>14</v>
      </c>
      <c r="U34" s="706">
        <f t="shared" si="13"/>
        <v>100</v>
      </c>
      <c r="V34" s="705" t="s">
        <v>14</v>
      </c>
      <c r="W34" s="706">
        <f t="shared" si="14"/>
        <v>100</v>
      </c>
      <c r="X34" s="1355"/>
      <c r="Y34" s="373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5"/>
      <c r="Q35" s="1352" t="str">
        <f t="shared" si="11"/>
        <v>公共部分装修</v>
      </c>
      <c r="R35" s="705" t="s">
        <v>14</v>
      </c>
      <c r="S35" s="706">
        <f t="shared" si="12"/>
        <v>100</v>
      </c>
      <c r="T35" s="705" t="s">
        <v>14</v>
      </c>
      <c r="U35" s="706">
        <f t="shared" si="13"/>
        <v>100</v>
      </c>
      <c r="V35" s="705" t="s">
        <v>14</v>
      </c>
      <c r="W35" s="706">
        <f t="shared" si="14"/>
        <v>100</v>
      </c>
      <c r="X35" s="1355"/>
      <c r="Y35" s="373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5"/>
      <c r="Q36" s="1352" t="str">
        <f t="shared" si="11"/>
        <v>成新度</v>
      </c>
      <c r="R36" s="705" t="s">
        <v>14</v>
      </c>
      <c r="S36" s="706" t="e">
        <f t="shared" si="12"/>
        <v>#N/A</v>
      </c>
      <c r="T36" s="705" t="s">
        <v>14</v>
      </c>
      <c r="U36" s="706" t="e">
        <f t="shared" si="13"/>
        <v>#N/A</v>
      </c>
      <c r="V36" s="705" t="s">
        <v>14</v>
      </c>
      <c r="W36" s="706" t="e">
        <f t="shared" si="14"/>
        <v>#N/A</v>
      </c>
      <c r="X36" s="1355"/>
      <c r="Y36" s="373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5"/>
      <c r="Q37" s="1343" t="str">
        <f t="shared" si="11"/>
        <v>市政基础设施</v>
      </c>
      <c r="R37" s="701" t="s">
        <v>14</v>
      </c>
      <c r="S37" s="702">
        <f t="shared" si="12"/>
        <v>100</v>
      </c>
      <c r="T37" s="701" t="s">
        <v>14</v>
      </c>
      <c r="U37" s="702">
        <f t="shared" si="13"/>
        <v>100</v>
      </c>
      <c r="V37" s="701" t="s">
        <v>14</v>
      </c>
      <c r="W37" s="702">
        <f t="shared" si="14"/>
        <v>100</v>
      </c>
      <c r="X37" s="703"/>
      <c r="Y37" s="373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5" t="s">
        <v>1696</v>
      </c>
      <c r="Q38" s="1352" t="str">
        <f t="shared" si="11"/>
        <v>业态</v>
      </c>
      <c r="R38" s="705" t="s">
        <v>14</v>
      </c>
      <c r="S38" s="706">
        <f t="shared" si="12"/>
        <v>100</v>
      </c>
      <c r="T38" s="705" t="s">
        <v>14</v>
      </c>
      <c r="U38" s="706">
        <f t="shared" si="13"/>
        <v>100</v>
      </c>
      <c r="V38" s="705" t="s">
        <v>14</v>
      </c>
      <c r="W38" s="706">
        <f t="shared" si="14"/>
        <v>100</v>
      </c>
      <c r="X38" s="1355"/>
      <c r="Y38" s="373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5"/>
      <c r="Q39" s="1352" t="str">
        <f t="shared" si="11"/>
        <v>层高</v>
      </c>
      <c r="R39" s="705" t="s">
        <v>14</v>
      </c>
      <c r="S39" s="706">
        <f t="shared" si="12"/>
        <v>100</v>
      </c>
      <c r="T39" s="705" t="s">
        <v>14</v>
      </c>
      <c r="U39" s="706">
        <f t="shared" si="13"/>
        <v>100</v>
      </c>
      <c r="V39" s="705" t="s">
        <v>14</v>
      </c>
      <c r="W39" s="706">
        <f t="shared" si="14"/>
        <v>100</v>
      </c>
      <c r="X39" s="1355"/>
      <c r="Y39" s="373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5"/>
      <c r="Q40" s="1352" t="str">
        <f t="shared" si="11"/>
        <v>单套建筑面积</v>
      </c>
      <c r="R40" s="705" t="s">
        <v>14</v>
      </c>
      <c r="S40" s="706">
        <f t="shared" si="12"/>
        <v>100</v>
      </c>
      <c r="T40" s="705" t="s">
        <v>14</v>
      </c>
      <c r="U40" s="706">
        <f t="shared" si="13"/>
        <v>100</v>
      </c>
      <c r="V40" s="705" t="s">
        <v>14</v>
      </c>
      <c r="W40" s="706">
        <f t="shared" si="14"/>
        <v>100</v>
      </c>
      <c r="X40" s="1355"/>
      <c r="Y40" s="373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5"/>
      <c r="Q41" s="707" t="str">
        <f t="shared" si="11"/>
        <v>进深比</v>
      </c>
      <c r="R41" s="708" t="s">
        <v>14</v>
      </c>
      <c r="S41" s="709">
        <f t="shared" si="12"/>
        <v>100</v>
      </c>
      <c r="T41" s="708" t="s">
        <v>14</v>
      </c>
      <c r="U41" s="709">
        <f t="shared" si="13"/>
        <v>100</v>
      </c>
      <c r="V41" s="708" t="s">
        <v>14</v>
      </c>
      <c r="W41" s="709">
        <f t="shared" si="14"/>
        <v>100</v>
      </c>
      <c r="X41" s="710"/>
      <c r="Y41" s="373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5"/>
      <c r="Q42" s="1352" t="str">
        <f t="shared" si="11"/>
        <v>内部装修</v>
      </c>
      <c r="R42" s="705" t="s">
        <v>14</v>
      </c>
      <c r="S42" s="706">
        <f t="shared" si="12"/>
        <v>100</v>
      </c>
      <c r="T42" s="705" t="s">
        <v>14</v>
      </c>
      <c r="U42" s="706">
        <f t="shared" si="13"/>
        <v>100</v>
      </c>
      <c r="V42" s="705" t="s">
        <v>14</v>
      </c>
      <c r="W42" s="706">
        <f t="shared" si="14"/>
        <v>100</v>
      </c>
      <c r="X42" s="1355"/>
      <c r="Y42" s="373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5"/>
      <c r="Q43" s="1352" t="str">
        <f t="shared" si="11"/>
        <v>内部装修维护情况</v>
      </c>
      <c r="R43" s="705" t="s">
        <v>14</v>
      </c>
      <c r="S43" s="706">
        <f t="shared" si="12"/>
        <v>100</v>
      </c>
      <c r="T43" s="705" t="s">
        <v>14</v>
      </c>
      <c r="U43" s="706">
        <f t="shared" si="13"/>
        <v>100</v>
      </c>
      <c r="V43" s="705" t="s">
        <v>14</v>
      </c>
      <c r="W43" s="706">
        <f t="shared" si="14"/>
        <v>100</v>
      </c>
      <c r="X43" s="1355"/>
      <c r="Y43" s="373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5"/>
      <c r="Q44" s="1343">
        <f t="shared" si="11"/>
        <v>111</v>
      </c>
      <c r="R44" s="701" t="s">
        <v>14</v>
      </c>
      <c r="S44" s="702">
        <f t="shared" si="12"/>
        <v>100</v>
      </c>
      <c r="T44" s="701" t="s">
        <v>14</v>
      </c>
      <c r="U44" s="702">
        <f t="shared" si="13"/>
        <v>100</v>
      </c>
      <c r="V44" s="701" t="s">
        <v>14</v>
      </c>
      <c r="W44" s="702">
        <f t="shared" si="14"/>
        <v>100</v>
      </c>
      <c r="X44" s="703"/>
      <c r="Y44" s="373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5"/>
      <c r="Q45" s="1352">
        <f t="shared" si="11"/>
        <v>111</v>
      </c>
      <c r="R45" s="705" t="s">
        <v>14</v>
      </c>
      <c r="S45" s="706">
        <f t="shared" si="12"/>
        <v>100</v>
      </c>
      <c r="T45" s="705" t="s">
        <v>14</v>
      </c>
      <c r="U45" s="706">
        <f t="shared" si="13"/>
        <v>100</v>
      </c>
      <c r="V45" s="705" t="s">
        <v>14</v>
      </c>
      <c r="W45" s="706">
        <f t="shared" si="14"/>
        <v>100</v>
      </c>
      <c r="X45" s="1355"/>
      <c r="Y45" s="373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0" t="str">
        <f>A47</f>
        <v>成交单价（元/平方米）</v>
      </c>
      <c r="Q47" s="3730"/>
      <c r="R47" s="3725">
        <f>E47</f>
        <v>0</v>
      </c>
      <c r="S47" s="3725"/>
      <c r="T47" s="3725">
        <f>G47</f>
        <v>0</v>
      </c>
      <c r="U47" s="3725"/>
      <c r="V47" s="3725">
        <f>I47</f>
        <v>0</v>
      </c>
      <c r="W47" s="372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0" t="str">
        <f>A48</f>
        <v>比较价值（元/平方米）</v>
      </c>
      <c r="Q48" s="3730"/>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7" t="str">
        <f>A49</f>
        <v>估价对象XX用房的比较价值（楼面单价，元/平方米）</v>
      </c>
      <c r="Q49" s="3728"/>
      <c r="R49" s="3729" t="e">
        <f>IF(F1="售价",ROUND(IF(D48="简单平均",AVERAGE(R48:V48),R48*F48+T48*H48+V48*J48),0),ROUND(IF(D48="简单平均",AVERAGE(R48:V48),R48*F48+T48*H48+V48*J48),1))</f>
        <v>#DIV/0!</v>
      </c>
      <c r="S49" s="3729"/>
      <c r="T49" s="3729"/>
      <c r="U49" s="3729"/>
      <c r="V49" s="3729"/>
      <c r="W49" s="372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7" t="s">
        <v>1775</v>
      </c>
      <c r="Q4" s="3748"/>
      <c r="R4" s="3742" t="s">
        <v>1771</v>
      </c>
      <c r="S4" s="3743"/>
      <c r="T4" s="3742" t="s">
        <v>1772</v>
      </c>
      <c r="U4" s="3743"/>
      <c r="V4" s="3751" t="s">
        <v>1773</v>
      </c>
      <c r="W4" s="3751"/>
      <c r="X4" s="1958"/>
      <c r="Y4" s="3742" t="s">
        <v>1775</v>
      </c>
      <c r="Z4" s="3743"/>
      <c r="AA4" s="3741" t="s">
        <v>1771</v>
      </c>
      <c r="AB4" s="3741" t="s">
        <v>1772</v>
      </c>
      <c r="AC4" s="3744" t="s">
        <v>1773</v>
      </c>
    </row>
    <row r="5" spans="1:29" ht="15">
      <c r="A5" s="358"/>
      <c r="B5" s="359"/>
      <c r="C5" s="3706" t="s">
        <v>1673</v>
      </c>
      <c r="D5" s="3707"/>
      <c r="E5" s="3704" t="s">
        <v>1674</v>
      </c>
      <c r="F5" s="3705"/>
      <c r="G5" s="3706" t="s">
        <v>1675</v>
      </c>
      <c r="H5" s="3707"/>
      <c r="I5" s="3706" t="s">
        <v>1676</v>
      </c>
      <c r="J5" s="3707"/>
      <c r="K5" s="559"/>
      <c r="L5" s="2715"/>
      <c r="M5" s="2716"/>
      <c r="N5" s="2716"/>
      <c r="O5" s="2716"/>
      <c r="P5" s="3749"/>
      <c r="Q5" s="3720"/>
      <c r="R5" s="3702"/>
      <c r="S5" s="3703"/>
      <c r="T5" s="3702"/>
      <c r="U5" s="3703"/>
      <c r="V5" s="3725"/>
      <c r="W5" s="3725"/>
      <c r="X5" s="1355"/>
      <c r="Y5" s="3702"/>
      <c r="Z5" s="3703"/>
      <c r="AA5" s="3696"/>
      <c r="AB5" s="3696"/>
      <c r="AC5" s="3745"/>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50"/>
      <c r="Q6" s="3722"/>
      <c r="R6" s="3702"/>
      <c r="S6" s="3703"/>
      <c r="T6" s="3723"/>
      <c r="U6" s="3724"/>
      <c r="V6" s="3725"/>
      <c r="W6" s="3725"/>
      <c r="X6" s="1355"/>
      <c r="Y6" s="3723"/>
      <c r="Z6" s="3724"/>
      <c r="AA6" s="3697"/>
      <c r="AB6" s="3697"/>
      <c r="AC6" s="3746"/>
    </row>
    <row r="7" spans="1:29" s="108" customFormat="1" ht="15.75" thickBot="1">
      <c r="A7" s="362" t="s">
        <v>1679</v>
      </c>
      <c r="B7" s="363"/>
      <c r="C7" s="364">
        <f>'数据-取费表'!B2</f>
        <v>46006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2"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2"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9" t="s">
        <v>1691</v>
      </c>
      <c r="Q15" s="1352" t="str">
        <f t="shared" si="6"/>
        <v>办公集聚程度</v>
      </c>
      <c r="R15" s="705" t="s">
        <v>14</v>
      </c>
      <c r="S15" s="706">
        <f t="shared" si="0"/>
        <v>100</v>
      </c>
      <c r="T15" s="705" t="s">
        <v>14</v>
      </c>
      <c r="U15" s="706">
        <f t="shared" si="1"/>
        <v>100</v>
      </c>
      <c r="V15" s="705" t="s">
        <v>14</v>
      </c>
      <c r="W15" s="706">
        <f t="shared" si="2"/>
        <v>100</v>
      </c>
      <c r="X15" s="1355"/>
      <c r="Y15" s="373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0"/>
      <c r="Q16" s="1352"/>
      <c r="R16" s="705"/>
      <c r="S16" s="706"/>
      <c r="T16" s="705"/>
      <c r="U16" s="706"/>
      <c r="V16" s="705"/>
      <c r="W16" s="706"/>
      <c r="X16" s="1355"/>
      <c r="Y16" s="373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0"/>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0"/>
      <c r="Q18" s="1352"/>
      <c r="R18" s="705"/>
      <c r="S18" s="706"/>
      <c r="T18" s="705"/>
      <c r="U18" s="706"/>
      <c r="V18" s="705"/>
      <c r="W18" s="706"/>
      <c r="X18" s="1355"/>
      <c r="Y18" s="373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0"/>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0"/>
      <c r="Q20" s="1352"/>
      <c r="R20" s="705"/>
      <c r="S20" s="706"/>
      <c r="T20" s="705"/>
      <c r="U20" s="706"/>
      <c r="V20" s="705"/>
      <c r="W20" s="706"/>
      <c r="X20" s="1355"/>
      <c r="Y20" s="373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0"/>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0"/>
      <c r="Q22" s="1352"/>
      <c r="R22" s="705"/>
      <c r="S22" s="706"/>
      <c r="T22" s="705"/>
      <c r="U22" s="706"/>
      <c r="V22" s="705"/>
      <c r="W22" s="706"/>
      <c r="X22" s="1355"/>
      <c r="Y22" s="373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0"/>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0"/>
      <c r="Q24" s="1352"/>
      <c r="R24" s="705"/>
      <c r="S24" s="706"/>
      <c r="T24" s="705"/>
      <c r="U24" s="706"/>
      <c r="V24" s="705"/>
      <c r="W24" s="706"/>
      <c r="X24" s="1355"/>
      <c r="Y24" s="373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0"/>
      <c r="Q25" s="1352" t="str">
        <f>B25</f>
        <v>毗邻道路的类型与等级</v>
      </c>
      <c r="R25" s="705" t="s">
        <v>14</v>
      </c>
      <c r="S25" s="706">
        <f>F25</f>
        <v>100</v>
      </c>
      <c r="T25" s="705" t="s">
        <v>14</v>
      </c>
      <c r="U25" s="706">
        <f>H25</f>
        <v>100</v>
      </c>
      <c r="V25" s="705" t="s">
        <v>14</v>
      </c>
      <c r="W25" s="706">
        <f>J25</f>
        <v>100</v>
      </c>
      <c r="X25" s="1355"/>
      <c r="Y25" s="373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0"/>
      <c r="Q26" s="1352"/>
      <c r="R26" s="705"/>
      <c r="S26" s="706"/>
      <c r="T26" s="705"/>
      <c r="U26" s="706"/>
      <c r="V26" s="705"/>
      <c r="W26" s="706"/>
      <c r="X26" s="1355"/>
      <c r="Y26" s="373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0"/>
      <c r="Q27" s="1352" t="str">
        <f t="shared" ref="Q27:Q47" si="11">B27</f>
        <v>楼层</v>
      </c>
      <c r="R27" s="705" t="s">
        <v>14</v>
      </c>
      <c r="S27" s="706">
        <f>F27</f>
        <v>100</v>
      </c>
      <c r="T27" s="705" t="s">
        <v>14</v>
      </c>
      <c r="U27" s="706">
        <f>H27</f>
        <v>100</v>
      </c>
      <c r="V27" s="705" t="s">
        <v>14</v>
      </c>
      <c r="W27" s="706">
        <f>J27</f>
        <v>100</v>
      </c>
      <c r="X27" s="1355"/>
      <c r="Y27" s="373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0"/>
      <c r="Q28" s="1343" t="str">
        <f t="shared" si="11"/>
        <v>朝向</v>
      </c>
      <c r="R28" s="701" t="s">
        <v>14</v>
      </c>
      <c r="S28" s="702">
        <f>F28</f>
        <v>100</v>
      </c>
      <c r="T28" s="701" t="s">
        <v>14</v>
      </c>
      <c r="U28" s="702">
        <f>H28</f>
        <v>100</v>
      </c>
      <c r="V28" s="701" t="s">
        <v>14</v>
      </c>
      <c r="W28" s="702">
        <f>J28</f>
        <v>100</v>
      </c>
      <c r="X28" s="703"/>
      <c r="Y28" s="373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0"/>
      <c r="Q29" s="1352">
        <f t="shared" si="11"/>
        <v>111</v>
      </c>
      <c r="R29" s="705" t="s">
        <v>14</v>
      </c>
      <c r="S29" s="706">
        <f t="shared" ref="S29:S47" si="12">F29</f>
        <v>100</v>
      </c>
      <c r="T29" s="705" t="s">
        <v>14</v>
      </c>
      <c r="U29" s="706">
        <f t="shared" ref="U29:U47" si="13">H29</f>
        <v>100</v>
      </c>
      <c r="V29" s="705" t="s">
        <v>14</v>
      </c>
      <c r="W29" s="706">
        <f t="shared" ref="W29:W47" si="14">J29</f>
        <v>100</v>
      </c>
      <c r="X29" s="1355"/>
      <c r="Y29" s="373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0"/>
      <c r="Q30" s="1352">
        <f t="shared" si="11"/>
        <v>111</v>
      </c>
      <c r="R30" s="705" t="s">
        <v>14</v>
      </c>
      <c r="S30" s="706">
        <f t="shared" si="12"/>
        <v>100</v>
      </c>
      <c r="T30" s="705" t="s">
        <v>14</v>
      </c>
      <c r="U30" s="706">
        <f t="shared" si="13"/>
        <v>100</v>
      </c>
      <c r="V30" s="705" t="s">
        <v>14</v>
      </c>
      <c r="W30" s="706">
        <f t="shared" si="14"/>
        <v>100</v>
      </c>
      <c r="X30" s="1355"/>
      <c r="Y30" s="373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0"/>
      <c r="Q31" s="1352">
        <f t="shared" si="11"/>
        <v>111</v>
      </c>
      <c r="R31" s="705" t="s">
        <v>14</v>
      </c>
      <c r="S31" s="706">
        <f t="shared" si="12"/>
        <v>100</v>
      </c>
      <c r="T31" s="705" t="s">
        <v>14</v>
      </c>
      <c r="U31" s="706">
        <f t="shared" si="13"/>
        <v>100</v>
      </c>
      <c r="V31" s="705" t="s">
        <v>14</v>
      </c>
      <c r="W31" s="706">
        <f t="shared" si="14"/>
        <v>100</v>
      </c>
      <c r="X31" s="1355"/>
      <c r="Y31" s="373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0"/>
      <c r="Q32" s="1352">
        <f t="shared" si="11"/>
        <v>111</v>
      </c>
      <c r="R32" s="705" t="s">
        <v>14</v>
      </c>
      <c r="S32" s="706">
        <f t="shared" si="12"/>
        <v>100</v>
      </c>
      <c r="T32" s="705" t="s">
        <v>14</v>
      </c>
      <c r="U32" s="706">
        <f t="shared" si="13"/>
        <v>100</v>
      </c>
      <c r="V32" s="705" t="s">
        <v>14</v>
      </c>
      <c r="W32" s="706">
        <f t="shared" si="14"/>
        <v>100</v>
      </c>
      <c r="X32" s="1355"/>
      <c r="Y32" s="373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4" t="s">
        <v>1696</v>
      </c>
      <c r="Q33" s="1352" t="str">
        <f t="shared" si="11"/>
        <v>建筑类型</v>
      </c>
      <c r="R33" s="705" t="s">
        <v>14</v>
      </c>
      <c r="S33" s="706">
        <f t="shared" si="12"/>
        <v>100</v>
      </c>
      <c r="T33" s="705" t="s">
        <v>14</v>
      </c>
      <c r="U33" s="706">
        <f t="shared" si="13"/>
        <v>100</v>
      </c>
      <c r="V33" s="705" t="s">
        <v>14</v>
      </c>
      <c r="W33" s="706">
        <f t="shared" si="14"/>
        <v>100</v>
      </c>
      <c r="X33" s="1355"/>
      <c r="Y33" s="373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5"/>
      <c r="Q34" s="707" t="str">
        <f t="shared" si="11"/>
        <v>项目建筑规模</v>
      </c>
      <c r="R34" s="708" t="s">
        <v>14</v>
      </c>
      <c r="S34" s="709" t="e">
        <f t="shared" si="12"/>
        <v>#N/A</v>
      </c>
      <c r="T34" s="708" t="s">
        <v>14</v>
      </c>
      <c r="U34" s="709" t="e">
        <f t="shared" si="13"/>
        <v>#N/A</v>
      </c>
      <c r="V34" s="708" t="s">
        <v>14</v>
      </c>
      <c r="W34" s="709" t="e">
        <f t="shared" si="14"/>
        <v>#N/A</v>
      </c>
      <c r="X34" s="710"/>
      <c r="Y34" s="373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5"/>
      <c r="Q35" s="1352" t="str">
        <f t="shared" si="11"/>
        <v>建筑结构</v>
      </c>
      <c r="R35" s="705" t="s">
        <v>14</v>
      </c>
      <c r="S35" s="706">
        <f t="shared" si="12"/>
        <v>100</v>
      </c>
      <c r="T35" s="705" t="s">
        <v>14</v>
      </c>
      <c r="U35" s="706">
        <f t="shared" si="13"/>
        <v>100</v>
      </c>
      <c r="V35" s="705" t="s">
        <v>14</v>
      </c>
      <c r="W35" s="706">
        <f t="shared" si="14"/>
        <v>100</v>
      </c>
      <c r="X35" s="1355"/>
      <c r="Y35" s="373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5"/>
      <c r="Q36" s="1352" t="str">
        <f t="shared" si="11"/>
        <v>公共部分装修</v>
      </c>
      <c r="R36" s="705" t="s">
        <v>14</v>
      </c>
      <c r="S36" s="706">
        <f t="shared" si="12"/>
        <v>100</v>
      </c>
      <c r="T36" s="705" t="s">
        <v>14</v>
      </c>
      <c r="U36" s="706">
        <f t="shared" si="13"/>
        <v>100</v>
      </c>
      <c r="V36" s="705" t="s">
        <v>14</v>
      </c>
      <c r="W36" s="706">
        <f t="shared" si="14"/>
        <v>100</v>
      </c>
      <c r="X36" s="1355"/>
      <c r="Y36" s="373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5"/>
      <c r="Q37" s="1352" t="str">
        <f t="shared" si="11"/>
        <v>成新度</v>
      </c>
      <c r="R37" s="705" t="s">
        <v>14</v>
      </c>
      <c r="S37" s="706" t="e">
        <f t="shared" si="12"/>
        <v>#N/A</v>
      </c>
      <c r="T37" s="705" t="s">
        <v>14</v>
      </c>
      <c r="U37" s="706" t="e">
        <f t="shared" si="13"/>
        <v>#N/A</v>
      </c>
      <c r="V37" s="705" t="s">
        <v>14</v>
      </c>
      <c r="W37" s="706" t="e">
        <f t="shared" si="14"/>
        <v>#N/A</v>
      </c>
      <c r="X37" s="1355"/>
      <c r="Y37" s="373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5"/>
      <c r="Q38" s="1343" t="str">
        <f t="shared" si="11"/>
        <v>写字楼等级</v>
      </c>
      <c r="R38" s="701" t="s">
        <v>14</v>
      </c>
      <c r="S38" s="702">
        <f t="shared" si="12"/>
        <v>100</v>
      </c>
      <c r="T38" s="701" t="s">
        <v>14</v>
      </c>
      <c r="U38" s="702">
        <f t="shared" si="13"/>
        <v>100</v>
      </c>
      <c r="V38" s="701" t="s">
        <v>14</v>
      </c>
      <c r="W38" s="702">
        <f t="shared" si="14"/>
        <v>100</v>
      </c>
      <c r="X38" s="703"/>
      <c r="Y38" s="373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5" t="s">
        <v>1696</v>
      </c>
      <c r="Q39" s="1352" t="str">
        <f t="shared" si="11"/>
        <v>物业管理</v>
      </c>
      <c r="R39" s="705" t="s">
        <v>14</v>
      </c>
      <c r="S39" s="706">
        <f t="shared" si="12"/>
        <v>100</v>
      </c>
      <c r="T39" s="705" t="s">
        <v>14</v>
      </c>
      <c r="U39" s="706">
        <f t="shared" si="13"/>
        <v>100</v>
      </c>
      <c r="V39" s="705" t="s">
        <v>14</v>
      </c>
      <c r="W39" s="706">
        <f t="shared" si="14"/>
        <v>100</v>
      </c>
      <c r="X39" s="1355"/>
      <c r="Y39" s="373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5"/>
      <c r="Q40" s="1352" t="str">
        <f t="shared" si="11"/>
        <v>市政基础设施</v>
      </c>
      <c r="R40" s="705" t="s">
        <v>14</v>
      </c>
      <c r="S40" s="706">
        <f t="shared" si="12"/>
        <v>100</v>
      </c>
      <c r="T40" s="705" t="s">
        <v>14</v>
      </c>
      <c r="U40" s="706">
        <f t="shared" si="13"/>
        <v>100</v>
      </c>
      <c r="V40" s="705" t="s">
        <v>14</v>
      </c>
      <c r="W40" s="706">
        <f t="shared" si="14"/>
        <v>100</v>
      </c>
      <c r="X40" s="1355"/>
      <c r="Y40" s="373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5"/>
      <c r="Q41" s="1352" t="str">
        <f t="shared" si="11"/>
        <v>层高</v>
      </c>
      <c r="R41" s="705" t="s">
        <v>14</v>
      </c>
      <c r="S41" s="706">
        <f t="shared" si="12"/>
        <v>100</v>
      </c>
      <c r="T41" s="705" t="s">
        <v>14</v>
      </c>
      <c r="U41" s="706">
        <f t="shared" si="13"/>
        <v>100</v>
      </c>
      <c r="V41" s="705" t="s">
        <v>14</v>
      </c>
      <c r="W41" s="706">
        <f t="shared" si="14"/>
        <v>100</v>
      </c>
      <c r="X41" s="1355"/>
      <c r="Y41" s="373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5"/>
      <c r="Q42" s="707" t="str">
        <f t="shared" si="11"/>
        <v>单套建筑面积</v>
      </c>
      <c r="R42" s="708" t="s">
        <v>14</v>
      </c>
      <c r="S42" s="709">
        <f t="shared" si="12"/>
        <v>100</v>
      </c>
      <c r="T42" s="708" t="s">
        <v>14</v>
      </c>
      <c r="U42" s="709">
        <f t="shared" si="13"/>
        <v>100</v>
      </c>
      <c r="V42" s="708" t="s">
        <v>14</v>
      </c>
      <c r="W42" s="709">
        <f t="shared" si="14"/>
        <v>100</v>
      </c>
      <c r="X42" s="710"/>
      <c r="Y42" s="373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5"/>
      <c r="Q43" s="1352" t="str">
        <f t="shared" si="11"/>
        <v>内部装修</v>
      </c>
      <c r="R43" s="705" t="s">
        <v>14</v>
      </c>
      <c r="S43" s="706">
        <f t="shared" si="12"/>
        <v>100</v>
      </c>
      <c r="T43" s="705" t="s">
        <v>14</v>
      </c>
      <c r="U43" s="706">
        <f t="shared" si="13"/>
        <v>100</v>
      </c>
      <c r="V43" s="705" t="s">
        <v>14</v>
      </c>
      <c r="W43" s="706">
        <f t="shared" si="14"/>
        <v>100</v>
      </c>
      <c r="X43" s="1355"/>
      <c r="Y43" s="373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5"/>
      <c r="Q44" s="1352" t="str">
        <f t="shared" si="11"/>
        <v>内部装修维护情况</v>
      </c>
      <c r="R44" s="705" t="s">
        <v>14</v>
      </c>
      <c r="S44" s="706">
        <f t="shared" si="12"/>
        <v>100</v>
      </c>
      <c r="T44" s="705" t="s">
        <v>14</v>
      </c>
      <c r="U44" s="706">
        <f t="shared" si="13"/>
        <v>100</v>
      </c>
      <c r="V44" s="705" t="s">
        <v>14</v>
      </c>
      <c r="W44" s="706">
        <f t="shared" si="14"/>
        <v>100</v>
      </c>
      <c r="X44" s="1355"/>
      <c r="Y44" s="373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5"/>
      <c r="Q45" s="1343">
        <f t="shared" si="11"/>
        <v>111</v>
      </c>
      <c r="R45" s="701" t="s">
        <v>14</v>
      </c>
      <c r="S45" s="702">
        <f t="shared" si="12"/>
        <v>100</v>
      </c>
      <c r="T45" s="701" t="s">
        <v>14</v>
      </c>
      <c r="U45" s="702">
        <f t="shared" si="13"/>
        <v>100</v>
      </c>
      <c r="V45" s="701" t="s">
        <v>14</v>
      </c>
      <c r="W45" s="702">
        <f t="shared" si="14"/>
        <v>100</v>
      </c>
      <c r="X45" s="703"/>
      <c r="Y45" s="373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6"/>
      <c r="Q47" s="1352">
        <f t="shared" si="11"/>
        <v>111</v>
      </c>
      <c r="R47" s="705" t="s">
        <v>14</v>
      </c>
      <c r="S47" s="706">
        <f t="shared" si="12"/>
        <v>100</v>
      </c>
      <c r="T47" s="705" t="s">
        <v>14</v>
      </c>
      <c r="U47" s="706">
        <f t="shared" si="13"/>
        <v>100</v>
      </c>
      <c r="V47" s="705" t="s">
        <v>14</v>
      </c>
      <c r="W47" s="706">
        <f t="shared" si="14"/>
        <v>100</v>
      </c>
      <c r="X47" s="1355"/>
      <c r="Y47" s="373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30"/>
      <c r="R48" s="3731">
        <f>E48</f>
        <v>0</v>
      </c>
      <c r="S48" s="3731"/>
      <c r="T48" s="3731">
        <f>G48</f>
        <v>0</v>
      </c>
      <c r="U48" s="3731"/>
      <c r="V48" s="3731">
        <f>I48</f>
        <v>0</v>
      </c>
      <c r="W48" s="373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30"/>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913"/>
      <c r="M5" s="914"/>
      <c r="N5" s="914"/>
      <c r="O5" s="914"/>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913"/>
      <c r="M6" s="914"/>
      <c r="N6" s="914"/>
      <c r="O6" s="914"/>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46006</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0"/>
      <c r="Q11" s="1343" t="str">
        <f t="shared" si="6"/>
        <v>容积率</v>
      </c>
      <c r="R11" s="701" t="s">
        <v>14</v>
      </c>
      <c r="S11" s="702">
        <f t="shared" si="0"/>
        <v>100</v>
      </c>
      <c r="T11" s="701" t="s">
        <v>14</v>
      </c>
      <c r="U11" s="702">
        <f t="shared" si="1"/>
        <v>100</v>
      </c>
      <c r="V11" s="701" t="s">
        <v>14</v>
      </c>
      <c r="W11" s="702">
        <f t="shared" si="2"/>
        <v>100</v>
      </c>
      <c r="X11" s="703"/>
      <c r="Y11" s="36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3"/>
      <c r="Q16" s="1352"/>
      <c r="R16" s="705"/>
      <c r="S16" s="706"/>
      <c r="T16" s="705"/>
      <c r="U16" s="706"/>
      <c r="V16" s="705"/>
      <c r="W16" s="706"/>
      <c r="X16" s="1355"/>
      <c r="Y16" s="373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3"/>
      <c r="Q18" s="1352"/>
      <c r="R18" s="705"/>
      <c r="S18" s="706"/>
      <c r="T18" s="705"/>
      <c r="U18" s="706"/>
      <c r="V18" s="705"/>
      <c r="W18" s="706"/>
      <c r="X18" s="1355"/>
      <c r="Y18" s="373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3"/>
      <c r="Q19" s="1352" t="str">
        <f>B19</f>
        <v>公共配套设施</v>
      </c>
      <c r="R19" s="705" t="s">
        <v>14</v>
      </c>
      <c r="S19" s="706">
        <f>F19</f>
        <v>100</v>
      </c>
      <c r="T19" s="705" t="s">
        <v>14</v>
      </c>
      <c r="U19" s="706">
        <f>H19</f>
        <v>100</v>
      </c>
      <c r="V19" s="705" t="s">
        <v>14</v>
      </c>
      <c r="W19" s="706">
        <f>J19</f>
        <v>100</v>
      </c>
      <c r="X19" s="1355"/>
      <c r="Y19" s="373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3"/>
      <c r="Q20" s="1352"/>
      <c r="R20" s="705"/>
      <c r="S20" s="706"/>
      <c r="T20" s="705"/>
      <c r="U20" s="706"/>
      <c r="V20" s="705"/>
      <c r="W20" s="706"/>
      <c r="X20" s="1355"/>
      <c r="Y20" s="373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3"/>
      <c r="Q21" s="1352" t="str">
        <f>B21</f>
        <v>基础设施水平</v>
      </c>
      <c r="R21" s="705" t="s">
        <v>14</v>
      </c>
      <c r="S21" s="706">
        <f>F21</f>
        <v>100</v>
      </c>
      <c r="T21" s="705" t="s">
        <v>14</v>
      </c>
      <c r="U21" s="706">
        <f>H21</f>
        <v>100</v>
      </c>
      <c r="V21" s="705" t="s">
        <v>14</v>
      </c>
      <c r="W21" s="706">
        <f>J21</f>
        <v>100</v>
      </c>
      <c r="X21" s="1355"/>
      <c r="Y21" s="373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3"/>
      <c r="Q22" s="1352"/>
      <c r="R22" s="705"/>
      <c r="S22" s="706"/>
      <c r="T22" s="705"/>
      <c r="U22" s="706"/>
      <c r="V22" s="705"/>
      <c r="W22" s="706"/>
      <c r="X22" s="1355"/>
      <c r="Y22" s="373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3"/>
      <c r="Q23" s="1352" t="str">
        <f>B23</f>
        <v>环境质量</v>
      </c>
      <c r="R23" s="705" t="s">
        <v>14</v>
      </c>
      <c r="S23" s="706">
        <f>F23</f>
        <v>100</v>
      </c>
      <c r="T23" s="705" t="s">
        <v>14</v>
      </c>
      <c r="U23" s="706">
        <f>H23</f>
        <v>100</v>
      </c>
      <c r="V23" s="705" t="s">
        <v>14</v>
      </c>
      <c r="W23" s="706">
        <f>J23</f>
        <v>100</v>
      </c>
      <c r="X23" s="1355"/>
      <c r="Y23" s="373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3"/>
      <c r="Q24" s="1352"/>
      <c r="R24" s="705"/>
      <c r="S24" s="706"/>
      <c r="T24" s="705"/>
      <c r="U24" s="706"/>
      <c r="V24" s="705"/>
      <c r="W24" s="706"/>
      <c r="X24" s="1355"/>
      <c r="Y24" s="373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3"/>
      <c r="Q25" s="1352">
        <f>B25</f>
        <v>111</v>
      </c>
      <c r="R25" s="705" t="s">
        <v>14</v>
      </c>
      <c r="S25" s="706">
        <f>F25</f>
        <v>100</v>
      </c>
      <c r="T25" s="705" t="s">
        <v>14</v>
      </c>
      <c r="U25" s="706">
        <f>H25</f>
        <v>100</v>
      </c>
      <c r="V25" s="705" t="s">
        <v>14</v>
      </c>
      <c r="W25" s="706">
        <f>J25</f>
        <v>100</v>
      </c>
      <c r="X25" s="1355"/>
      <c r="Y25" s="373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3"/>
      <c r="Q26" s="1352">
        <f t="shared" ref="Q26:Q40" si="11">B26</f>
        <v>111</v>
      </c>
      <c r="R26" s="705" t="s">
        <v>14</v>
      </c>
      <c r="S26" s="706">
        <f>F26</f>
        <v>100</v>
      </c>
      <c r="T26" s="705" t="s">
        <v>14</v>
      </c>
      <c r="U26" s="706">
        <f>H26</f>
        <v>100</v>
      </c>
      <c r="V26" s="705" t="s">
        <v>14</v>
      </c>
      <c r="W26" s="706">
        <f>J26</f>
        <v>100</v>
      </c>
      <c r="X26" s="1355"/>
      <c r="Y26" s="373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3"/>
      <c r="Q27" s="1343">
        <f t="shared" si="11"/>
        <v>111</v>
      </c>
      <c r="R27" s="701" t="s">
        <v>14</v>
      </c>
      <c r="S27" s="702">
        <f>F27</f>
        <v>100</v>
      </c>
      <c r="T27" s="701" t="s">
        <v>14</v>
      </c>
      <c r="U27" s="702">
        <f>H27</f>
        <v>100</v>
      </c>
      <c r="V27" s="701" t="s">
        <v>14</v>
      </c>
      <c r="W27" s="702">
        <f>J27</f>
        <v>100</v>
      </c>
      <c r="X27" s="703"/>
      <c r="Y27" s="373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3"/>
      <c r="Q28" s="1352">
        <f t="shared" si="11"/>
        <v>111</v>
      </c>
      <c r="R28" s="705" t="s">
        <v>14</v>
      </c>
      <c r="S28" s="706">
        <f t="shared" ref="S28:S40" si="12">F28</f>
        <v>100</v>
      </c>
      <c r="T28" s="705" t="s">
        <v>14</v>
      </c>
      <c r="U28" s="706">
        <f t="shared" ref="U28:U40" si="13">H28</f>
        <v>100</v>
      </c>
      <c r="V28" s="705" t="s">
        <v>14</v>
      </c>
      <c r="W28" s="706">
        <f t="shared" ref="W28:W40" si="14">J28</f>
        <v>100</v>
      </c>
      <c r="X28" s="1355"/>
      <c r="Y28" s="373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6" t="s">
        <v>1696</v>
      </c>
      <c r="Q29" s="1352" t="str">
        <f t="shared" si="11"/>
        <v>建筑类型</v>
      </c>
      <c r="R29" s="705" t="s">
        <v>14</v>
      </c>
      <c r="S29" s="706">
        <f t="shared" si="12"/>
        <v>100</v>
      </c>
      <c r="T29" s="705" t="s">
        <v>14</v>
      </c>
      <c r="U29" s="706">
        <f t="shared" si="13"/>
        <v>100</v>
      </c>
      <c r="V29" s="705" t="s">
        <v>14</v>
      </c>
      <c r="W29" s="706">
        <f t="shared" si="14"/>
        <v>100</v>
      </c>
      <c r="X29" s="1355"/>
      <c r="Y29" s="373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7"/>
      <c r="Q30" s="707" t="str">
        <f t="shared" si="11"/>
        <v>项目建筑规模</v>
      </c>
      <c r="R30" s="708" t="s">
        <v>14</v>
      </c>
      <c r="S30" s="709" t="e">
        <f t="shared" si="12"/>
        <v>#N/A</v>
      </c>
      <c r="T30" s="708" t="s">
        <v>14</v>
      </c>
      <c r="U30" s="709" t="e">
        <f t="shared" si="13"/>
        <v>#N/A</v>
      </c>
      <c r="V30" s="708" t="s">
        <v>14</v>
      </c>
      <c r="W30" s="709" t="e">
        <f t="shared" si="14"/>
        <v>#N/A</v>
      </c>
      <c r="X30" s="710"/>
      <c r="Y30" s="373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7"/>
      <c r="Q31" s="1352" t="str">
        <f t="shared" si="11"/>
        <v>建筑结构</v>
      </c>
      <c r="R31" s="705" t="s">
        <v>14</v>
      </c>
      <c r="S31" s="706">
        <f t="shared" si="12"/>
        <v>100</v>
      </c>
      <c r="T31" s="705" t="s">
        <v>14</v>
      </c>
      <c r="U31" s="706">
        <f t="shared" si="13"/>
        <v>100</v>
      </c>
      <c r="V31" s="705" t="s">
        <v>14</v>
      </c>
      <c r="W31" s="706">
        <f t="shared" si="14"/>
        <v>100</v>
      </c>
      <c r="X31" s="1355"/>
      <c r="Y31" s="373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7"/>
      <c r="Q32" s="1352" t="str">
        <f t="shared" si="11"/>
        <v>公共部分装修</v>
      </c>
      <c r="R32" s="705" t="s">
        <v>14</v>
      </c>
      <c r="S32" s="706">
        <f t="shared" si="12"/>
        <v>100</v>
      </c>
      <c r="T32" s="705" t="s">
        <v>14</v>
      </c>
      <c r="U32" s="706">
        <f t="shared" si="13"/>
        <v>100</v>
      </c>
      <c r="V32" s="705" t="s">
        <v>14</v>
      </c>
      <c r="W32" s="706">
        <f t="shared" si="14"/>
        <v>100</v>
      </c>
      <c r="X32" s="1355"/>
      <c r="Y32" s="373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7"/>
      <c r="Q33" s="1352" t="str">
        <f t="shared" si="11"/>
        <v>成新度</v>
      </c>
      <c r="R33" s="705" t="s">
        <v>14</v>
      </c>
      <c r="S33" s="706" t="e">
        <f t="shared" si="12"/>
        <v>#N/A</v>
      </c>
      <c r="T33" s="705" t="s">
        <v>14</v>
      </c>
      <c r="U33" s="706" t="e">
        <f t="shared" si="13"/>
        <v>#N/A</v>
      </c>
      <c r="V33" s="705" t="s">
        <v>14</v>
      </c>
      <c r="W33" s="706" t="e">
        <f t="shared" si="14"/>
        <v>#N/A</v>
      </c>
      <c r="X33" s="1355"/>
      <c r="Y33" s="373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7"/>
      <c r="Q34" s="1343" t="str">
        <f t="shared" si="11"/>
        <v>物业管理</v>
      </c>
      <c r="R34" s="701" t="s">
        <v>14</v>
      </c>
      <c r="S34" s="702">
        <f t="shared" si="12"/>
        <v>100</v>
      </c>
      <c r="T34" s="701" t="s">
        <v>14</v>
      </c>
      <c r="U34" s="702">
        <f t="shared" si="13"/>
        <v>100</v>
      </c>
      <c r="V34" s="701" t="s">
        <v>14</v>
      </c>
      <c r="W34" s="702">
        <f t="shared" si="14"/>
        <v>100</v>
      </c>
      <c r="X34" s="703"/>
      <c r="Y34" s="373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7" t="s">
        <v>1696</v>
      </c>
      <c r="Q35" s="1352" t="str">
        <f t="shared" si="11"/>
        <v>市政基础设施</v>
      </c>
      <c r="R35" s="705" t="s">
        <v>14</v>
      </c>
      <c r="S35" s="706">
        <f t="shared" si="12"/>
        <v>100</v>
      </c>
      <c r="T35" s="705" t="s">
        <v>14</v>
      </c>
      <c r="U35" s="706">
        <f t="shared" si="13"/>
        <v>100</v>
      </c>
      <c r="V35" s="705" t="s">
        <v>14</v>
      </c>
      <c r="W35" s="706">
        <f t="shared" si="14"/>
        <v>100</v>
      </c>
      <c r="X35" s="1355"/>
      <c r="Y35" s="373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7"/>
      <c r="Q36" s="1352" t="str">
        <f t="shared" si="11"/>
        <v>内部装修</v>
      </c>
      <c r="R36" s="705" t="s">
        <v>14</v>
      </c>
      <c r="S36" s="706">
        <f t="shared" si="12"/>
        <v>100</v>
      </c>
      <c r="T36" s="705" t="s">
        <v>14</v>
      </c>
      <c r="U36" s="706">
        <f t="shared" si="13"/>
        <v>100</v>
      </c>
      <c r="V36" s="705" t="s">
        <v>14</v>
      </c>
      <c r="W36" s="706">
        <f t="shared" si="14"/>
        <v>100</v>
      </c>
      <c r="X36" s="1355"/>
      <c r="Y36" s="373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7"/>
      <c r="Q37" s="1352" t="str">
        <f t="shared" si="11"/>
        <v>内部装修状况</v>
      </c>
      <c r="R37" s="705" t="s">
        <v>14</v>
      </c>
      <c r="S37" s="706">
        <f t="shared" si="12"/>
        <v>100</v>
      </c>
      <c r="T37" s="705" t="s">
        <v>14</v>
      </c>
      <c r="U37" s="706">
        <f t="shared" si="13"/>
        <v>100</v>
      </c>
      <c r="V37" s="705" t="s">
        <v>14</v>
      </c>
      <c r="W37" s="706">
        <f t="shared" si="14"/>
        <v>100</v>
      </c>
      <c r="X37" s="1355"/>
      <c r="Y37" s="373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7"/>
      <c r="Q38" s="707">
        <f t="shared" si="11"/>
        <v>111</v>
      </c>
      <c r="R38" s="708" t="s">
        <v>14</v>
      </c>
      <c r="S38" s="709">
        <f t="shared" si="12"/>
        <v>100</v>
      </c>
      <c r="T38" s="708" t="s">
        <v>14</v>
      </c>
      <c r="U38" s="709">
        <f t="shared" si="13"/>
        <v>100</v>
      </c>
      <c r="V38" s="708" t="s">
        <v>14</v>
      </c>
      <c r="W38" s="709">
        <f t="shared" si="14"/>
        <v>100</v>
      </c>
      <c r="X38" s="710"/>
      <c r="Y38" s="373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7"/>
      <c r="Q39" s="1352">
        <f t="shared" si="11"/>
        <v>111</v>
      </c>
      <c r="R39" s="705" t="s">
        <v>14</v>
      </c>
      <c r="S39" s="706">
        <f t="shared" si="12"/>
        <v>100</v>
      </c>
      <c r="T39" s="705" t="s">
        <v>14</v>
      </c>
      <c r="U39" s="706">
        <f t="shared" si="13"/>
        <v>100</v>
      </c>
      <c r="V39" s="705" t="s">
        <v>14</v>
      </c>
      <c r="W39" s="706">
        <f t="shared" si="14"/>
        <v>100</v>
      </c>
      <c r="X39" s="1355"/>
      <c r="Y39" s="373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8"/>
      <c r="Q40" s="1352">
        <f t="shared" si="11"/>
        <v>111</v>
      </c>
      <c r="R40" s="705" t="s">
        <v>14</v>
      </c>
      <c r="S40" s="706">
        <f t="shared" si="12"/>
        <v>100</v>
      </c>
      <c r="T40" s="705" t="s">
        <v>14</v>
      </c>
      <c r="U40" s="706">
        <f t="shared" si="13"/>
        <v>100</v>
      </c>
      <c r="V40" s="705" t="s">
        <v>14</v>
      </c>
      <c r="W40" s="706">
        <f t="shared" si="14"/>
        <v>100</v>
      </c>
      <c r="X40" s="1355"/>
      <c r="Y40" s="373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0" t="str">
        <f>A41</f>
        <v>成交单价（元/平方米）</v>
      </c>
      <c r="Q41" s="3730"/>
      <c r="R41" s="3731">
        <f>E41</f>
        <v>0</v>
      </c>
      <c r="S41" s="3731"/>
      <c r="T41" s="3731">
        <f>G41</f>
        <v>0</v>
      </c>
      <c r="U41" s="3731"/>
      <c r="V41" s="3731">
        <f>I41</f>
        <v>0</v>
      </c>
      <c r="W41" s="373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0" t="str">
        <f>A42</f>
        <v>比较价值（元/平方米）</v>
      </c>
      <c r="Q42" s="3730"/>
      <c r="R42" s="3731" t="e">
        <f>IF(F1="售价",ROUND(PRODUCT(R41,AA7:AA40),0),ROUND(PRODUCT(R41,AA7:AA40),1))</f>
        <v>#DIV/0!</v>
      </c>
      <c r="S42" s="3731"/>
      <c r="T42" s="3731" t="e">
        <f>IF(F1="售价",ROUND(PRODUCT(T41,AB7:AB40),0),ROUND(PRODUCT(T41,AB7:AB40),1))</f>
        <v>#DIV/0!</v>
      </c>
      <c r="U42" s="3731"/>
      <c r="V42" s="3731" t="e">
        <f>IF(F1="售价",ROUND(PRODUCT(V41,AC7:AC40),0),ROUND(PRODUCT(V41,AC7:AC40),1))</f>
        <v>#DIV/0!</v>
      </c>
      <c r="W42" s="373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7" t="str">
        <f>A43</f>
        <v>估价对象XX用房的比较价值（楼面单价，元/平方米）</v>
      </c>
      <c r="Q43" s="3728"/>
      <c r="R43" s="3729" t="e">
        <f>IF(F1="售价",ROUND(IF(D42="简单平均",AVERAGE(R42:V42),R42*F42+T42*H42+V42*J42),0),ROUND(IF(D42="简单平均",AVERAGE(R42:V42),R42*F42+T42*H42+V42*J42),1))</f>
        <v>#DIV/0!</v>
      </c>
      <c r="S43" s="3729"/>
      <c r="T43" s="3729"/>
      <c r="U43" s="3729"/>
      <c r="V43" s="3729"/>
      <c r="W43" s="372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2025年12月15日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46006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3"/>
      <c r="Q15" s="1352"/>
      <c r="R15" s="705"/>
      <c r="S15" s="706"/>
      <c r="T15" s="705"/>
      <c r="U15" s="706"/>
      <c r="V15" s="705"/>
      <c r="W15" s="706"/>
      <c r="X15" s="1355"/>
      <c r="Y15" s="373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3"/>
      <c r="Q17" s="1352"/>
      <c r="R17" s="705"/>
      <c r="S17" s="706"/>
      <c r="T17" s="705"/>
      <c r="U17" s="706"/>
      <c r="V17" s="705"/>
      <c r="W17" s="706"/>
      <c r="X17" s="1355"/>
      <c r="Y17" s="373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3"/>
      <c r="Q19" s="1352"/>
      <c r="R19" s="705"/>
      <c r="S19" s="706"/>
      <c r="T19" s="705"/>
      <c r="U19" s="706"/>
      <c r="V19" s="705"/>
      <c r="W19" s="706"/>
      <c r="X19" s="1355"/>
      <c r="Y19" s="373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3"/>
      <c r="Q21" s="1352"/>
      <c r="R21" s="705"/>
      <c r="S21" s="706"/>
      <c r="T21" s="705"/>
      <c r="U21" s="706"/>
      <c r="V21" s="705"/>
      <c r="W21" s="706"/>
      <c r="X21" s="1355"/>
      <c r="Y21" s="373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3"/>
      <c r="Q24" s="1352">
        <f t="shared" ref="Q24:Q36"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7"/>
      <c r="Q27" s="707" t="str">
        <f t="shared" si="11"/>
        <v>项目停车位配比</v>
      </c>
      <c r="R27" s="708" t="s">
        <v>14</v>
      </c>
      <c r="S27" s="709">
        <f t="shared" si="12"/>
        <v>100</v>
      </c>
      <c r="T27" s="708" t="s">
        <v>14</v>
      </c>
      <c r="U27" s="709">
        <f t="shared" si="13"/>
        <v>100</v>
      </c>
      <c r="V27" s="708" t="s">
        <v>14</v>
      </c>
      <c r="W27" s="709">
        <f t="shared" si="14"/>
        <v>100</v>
      </c>
      <c r="X27" s="710"/>
      <c r="Y27" s="373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7"/>
      <c r="Q28" s="1352" t="str">
        <f t="shared" si="11"/>
        <v>公共部分装修</v>
      </c>
      <c r="R28" s="705" t="s">
        <v>14</v>
      </c>
      <c r="S28" s="706">
        <f t="shared" si="12"/>
        <v>100</v>
      </c>
      <c r="T28" s="705" t="s">
        <v>14</v>
      </c>
      <c r="U28" s="706">
        <f t="shared" si="13"/>
        <v>100</v>
      </c>
      <c r="V28" s="705" t="s">
        <v>14</v>
      </c>
      <c r="W28" s="706">
        <f t="shared" si="14"/>
        <v>100</v>
      </c>
      <c r="X28" s="1355"/>
      <c r="Y28" s="373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7"/>
      <c r="Q29" s="1352" t="str">
        <f t="shared" si="11"/>
        <v>成新率</v>
      </c>
      <c r="R29" s="705" t="s">
        <v>14</v>
      </c>
      <c r="S29" s="706" t="e">
        <f t="shared" si="12"/>
        <v>#N/A</v>
      </c>
      <c r="T29" s="705" t="s">
        <v>14</v>
      </c>
      <c r="U29" s="706" t="e">
        <f t="shared" si="13"/>
        <v>#N/A</v>
      </c>
      <c r="V29" s="705" t="s">
        <v>14</v>
      </c>
      <c r="W29" s="706" t="e">
        <f t="shared" si="14"/>
        <v>#N/A</v>
      </c>
      <c r="X29" s="1355"/>
      <c r="Y29" s="373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7"/>
      <c r="Q30" s="1352" t="str">
        <f t="shared" si="11"/>
        <v>物业等级</v>
      </c>
      <c r="R30" s="705" t="s">
        <v>14</v>
      </c>
      <c r="S30" s="706">
        <f t="shared" si="12"/>
        <v>100</v>
      </c>
      <c r="T30" s="705" t="s">
        <v>14</v>
      </c>
      <c r="U30" s="706">
        <f t="shared" si="13"/>
        <v>100</v>
      </c>
      <c r="V30" s="705" t="s">
        <v>14</v>
      </c>
      <c r="W30" s="706">
        <f t="shared" si="14"/>
        <v>100</v>
      </c>
      <c r="X30" s="1355"/>
      <c r="Y30" s="373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7"/>
      <c r="Q31" s="1343" t="str">
        <f t="shared" si="11"/>
        <v>停车位面积</v>
      </c>
      <c r="R31" s="701" t="s">
        <v>14</v>
      </c>
      <c r="S31" s="702" t="e">
        <f t="shared" si="12"/>
        <v>#N/A</v>
      </c>
      <c r="T31" s="701" t="s">
        <v>14</v>
      </c>
      <c r="U31" s="702" t="e">
        <f t="shared" si="13"/>
        <v>#N/A</v>
      </c>
      <c r="V31" s="701" t="s">
        <v>14</v>
      </c>
      <c r="W31" s="702" t="e">
        <f t="shared" si="14"/>
        <v>#N/A</v>
      </c>
      <c r="X31" s="703"/>
      <c r="Y31" s="373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7" t="s">
        <v>1696</v>
      </c>
      <c r="Q32" s="1352" t="str">
        <f t="shared" si="11"/>
        <v>车位类型</v>
      </c>
      <c r="R32" s="705" t="s">
        <v>14</v>
      </c>
      <c r="S32" s="706">
        <f t="shared" si="12"/>
        <v>100</v>
      </c>
      <c r="T32" s="705" t="s">
        <v>14</v>
      </c>
      <c r="U32" s="706">
        <f t="shared" si="13"/>
        <v>100</v>
      </c>
      <c r="V32" s="705" t="s">
        <v>14</v>
      </c>
      <c r="W32" s="706">
        <f t="shared" si="14"/>
        <v>100</v>
      </c>
      <c r="X32" s="1355"/>
      <c r="Y32" s="373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7"/>
      <c r="Q33" s="1352" t="str">
        <f t="shared" si="11"/>
        <v>是否直接入户</v>
      </c>
      <c r="R33" s="705" t="s">
        <v>14</v>
      </c>
      <c r="S33" s="706">
        <f t="shared" si="12"/>
        <v>100</v>
      </c>
      <c r="T33" s="705" t="s">
        <v>14</v>
      </c>
      <c r="U33" s="706">
        <f t="shared" si="13"/>
        <v>100</v>
      </c>
      <c r="V33" s="705" t="s">
        <v>14</v>
      </c>
      <c r="W33" s="706">
        <f t="shared" si="14"/>
        <v>100</v>
      </c>
      <c r="X33" s="1355"/>
      <c r="Y33" s="373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7"/>
      <c r="Q35" s="707">
        <f t="shared" si="11"/>
        <v>111</v>
      </c>
      <c r="R35" s="708" t="s">
        <v>14</v>
      </c>
      <c r="S35" s="709">
        <f t="shared" si="12"/>
        <v>100</v>
      </c>
      <c r="T35" s="708" t="s">
        <v>14</v>
      </c>
      <c r="U35" s="709">
        <f t="shared" si="13"/>
        <v>100</v>
      </c>
      <c r="V35" s="708" t="s">
        <v>14</v>
      </c>
      <c r="W35" s="709">
        <f t="shared" si="14"/>
        <v>100</v>
      </c>
      <c r="X35" s="710"/>
      <c r="Y35" s="373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7"/>
      <c r="Q36" s="1352">
        <f t="shared" si="11"/>
        <v>111</v>
      </c>
      <c r="R36" s="705" t="s">
        <v>14</v>
      </c>
      <c r="S36" s="706">
        <f t="shared" si="12"/>
        <v>100</v>
      </c>
      <c r="T36" s="705" t="s">
        <v>14</v>
      </c>
      <c r="U36" s="706">
        <f t="shared" si="13"/>
        <v>100</v>
      </c>
      <c r="V36" s="705" t="s">
        <v>14</v>
      </c>
      <c r="W36" s="706">
        <f t="shared" si="14"/>
        <v>100</v>
      </c>
      <c r="X36" s="1355"/>
      <c r="Y36" s="3737"/>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30" t="str">
        <f>A37</f>
        <v>成交单价</v>
      </c>
      <c r="Q37" s="3730"/>
      <c r="R37" s="3731">
        <f>E37</f>
        <v>0</v>
      </c>
      <c r="S37" s="3731"/>
      <c r="T37" s="3731">
        <f>G37</f>
        <v>0</v>
      </c>
      <c r="U37" s="3731"/>
      <c r="V37" s="3731">
        <f>I37</f>
        <v>0</v>
      </c>
      <c r="W37" s="373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0" t="str">
        <f>A38</f>
        <v>比较价值（元/平方米）</v>
      </c>
      <c r="Q38" s="3730"/>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7" t="str">
        <f>A39</f>
        <v>估价对象XX用房的比较价值（楼面单价，元/平方米）</v>
      </c>
      <c r="Q39" s="3728"/>
      <c r="R39" s="3757" t="e">
        <f>IF(F1="售价",ROUND(IF(D38="简单平均",AVERAGE(R38:W38),R38*F38+T38*H38+V38*J38),0),ROUND(IF(D38="简单平均",AVERAGE(R38:V38),R38*F38+T38*H38+V38*J38),1))</f>
        <v>#DIV/0!</v>
      </c>
      <c r="S39" s="3757"/>
      <c r="T39" s="3757"/>
      <c r="U39" s="3757"/>
      <c r="V39" s="3757"/>
      <c r="W39" s="375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46006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8" t="s">
        <v>1680</v>
      </c>
      <c r="Q7" s="3726"/>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0" t="s">
        <v>1686</v>
      </c>
      <c r="Q9" s="1343" t="str">
        <f t="shared" ref="Q9:Q14" si="6">B9</f>
        <v>用途</v>
      </c>
      <c r="R9" s="701" t="s">
        <v>14</v>
      </c>
      <c r="S9" s="702">
        <f t="shared" si="0"/>
        <v>100</v>
      </c>
      <c r="T9" s="701" t="s">
        <v>14</v>
      </c>
      <c r="U9" s="702">
        <f t="shared" si="1"/>
        <v>100</v>
      </c>
      <c r="V9" s="701" t="s">
        <v>14</v>
      </c>
      <c r="W9" s="702">
        <f t="shared" si="2"/>
        <v>100</v>
      </c>
      <c r="X9" s="703"/>
      <c r="Y9" s="364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0"/>
      <c r="Q10" s="1343" t="str">
        <f t="shared" si="6"/>
        <v>土地使用年限（年）</v>
      </c>
      <c r="R10" s="701" t="s">
        <v>14</v>
      </c>
      <c r="S10" s="702">
        <f t="shared" si="0"/>
        <v>100</v>
      </c>
      <c r="T10" s="701" t="s">
        <v>14</v>
      </c>
      <c r="U10" s="702">
        <f t="shared" si="1"/>
        <v>100</v>
      </c>
      <c r="V10" s="701" t="s">
        <v>14</v>
      </c>
      <c r="W10" s="702">
        <f t="shared" si="2"/>
        <v>100</v>
      </c>
      <c r="X10" s="703"/>
      <c r="Y10" s="36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0"/>
      <c r="Q11" s="1343">
        <f t="shared" si="6"/>
        <v>111</v>
      </c>
      <c r="R11" s="701" t="s">
        <v>14</v>
      </c>
      <c r="S11" s="702">
        <f t="shared" si="0"/>
        <v>100</v>
      </c>
      <c r="T11" s="701" t="s">
        <v>14</v>
      </c>
      <c r="U11" s="702">
        <f t="shared" si="1"/>
        <v>100</v>
      </c>
      <c r="V11" s="701" t="s">
        <v>14</v>
      </c>
      <c r="W11" s="702">
        <f t="shared" si="2"/>
        <v>100</v>
      </c>
      <c r="X11" s="703"/>
      <c r="Y11" s="36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2" t="s">
        <v>1691</v>
      </c>
      <c r="Q14" s="1352" t="str">
        <f t="shared" si="6"/>
        <v>交通便捷度</v>
      </c>
      <c r="R14" s="705" t="s">
        <v>14</v>
      </c>
      <c r="S14" s="706">
        <f t="shared" si="0"/>
        <v>100</v>
      </c>
      <c r="T14" s="705" t="s">
        <v>14</v>
      </c>
      <c r="U14" s="706">
        <f t="shared" si="1"/>
        <v>100</v>
      </c>
      <c r="V14" s="705" t="s">
        <v>14</v>
      </c>
      <c r="W14" s="706">
        <f t="shared" si="2"/>
        <v>100</v>
      </c>
      <c r="X14" s="1355"/>
      <c r="Y14" s="373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3"/>
      <c r="Q15" s="1352"/>
      <c r="R15" s="705"/>
      <c r="S15" s="706"/>
      <c r="T15" s="705"/>
      <c r="U15" s="706"/>
      <c r="V15" s="705"/>
      <c r="W15" s="706"/>
      <c r="X15" s="1355"/>
      <c r="Y15" s="373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3"/>
      <c r="Q16" s="1352" t="str">
        <f>B16</f>
        <v>公共配套设施</v>
      </c>
      <c r="R16" s="705" t="s">
        <v>14</v>
      </c>
      <c r="S16" s="706">
        <f>F16</f>
        <v>100</v>
      </c>
      <c r="T16" s="705" t="s">
        <v>14</v>
      </c>
      <c r="U16" s="706">
        <f>H16</f>
        <v>100</v>
      </c>
      <c r="V16" s="705" t="s">
        <v>14</v>
      </c>
      <c r="W16" s="706">
        <f>J16</f>
        <v>100</v>
      </c>
      <c r="X16" s="1355"/>
      <c r="Y16" s="373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3"/>
      <c r="Q17" s="1352"/>
      <c r="R17" s="705"/>
      <c r="S17" s="706"/>
      <c r="T17" s="705"/>
      <c r="U17" s="706"/>
      <c r="V17" s="705"/>
      <c r="W17" s="706"/>
      <c r="X17" s="1355"/>
      <c r="Y17" s="373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3"/>
      <c r="Q18" s="1352" t="str">
        <f>B18</f>
        <v>基础设施水平</v>
      </c>
      <c r="R18" s="705" t="s">
        <v>14</v>
      </c>
      <c r="S18" s="706">
        <f>F18</f>
        <v>100</v>
      </c>
      <c r="T18" s="705" t="s">
        <v>14</v>
      </c>
      <c r="U18" s="706">
        <f>H18</f>
        <v>100</v>
      </c>
      <c r="V18" s="705" t="s">
        <v>14</v>
      </c>
      <c r="W18" s="706">
        <f>J18</f>
        <v>100</v>
      </c>
      <c r="X18" s="1355"/>
      <c r="Y18" s="373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3"/>
      <c r="Q19" s="1352"/>
      <c r="R19" s="705"/>
      <c r="S19" s="706"/>
      <c r="T19" s="705"/>
      <c r="U19" s="706"/>
      <c r="V19" s="705"/>
      <c r="W19" s="706"/>
      <c r="X19" s="1355"/>
      <c r="Y19" s="373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3"/>
      <c r="Q20" s="1352" t="str">
        <f>B20</f>
        <v>自然及人文环境</v>
      </c>
      <c r="R20" s="705" t="s">
        <v>14</v>
      </c>
      <c r="S20" s="706">
        <f>F20</f>
        <v>100</v>
      </c>
      <c r="T20" s="705" t="s">
        <v>14</v>
      </c>
      <c r="U20" s="706">
        <f>H20</f>
        <v>100</v>
      </c>
      <c r="V20" s="705" t="s">
        <v>14</v>
      </c>
      <c r="W20" s="706">
        <f>J20</f>
        <v>100</v>
      </c>
      <c r="X20" s="1355"/>
      <c r="Y20" s="373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3"/>
      <c r="Q21" s="1352"/>
      <c r="R21" s="705"/>
      <c r="S21" s="706"/>
      <c r="T21" s="705"/>
      <c r="U21" s="706"/>
      <c r="V21" s="705"/>
      <c r="W21" s="706"/>
      <c r="X21" s="1355"/>
      <c r="Y21" s="373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3"/>
      <c r="Q22" s="1352" t="str">
        <f>B22</f>
        <v>楼层</v>
      </c>
      <c r="R22" s="705" t="s">
        <v>14</v>
      </c>
      <c r="S22" s="706">
        <f>F22</f>
        <v>100</v>
      </c>
      <c r="T22" s="705" t="s">
        <v>14</v>
      </c>
      <c r="U22" s="706">
        <f>H22</f>
        <v>100</v>
      </c>
      <c r="V22" s="705" t="s">
        <v>14</v>
      </c>
      <c r="W22" s="706">
        <f>J22</f>
        <v>100</v>
      </c>
      <c r="X22" s="1355"/>
      <c r="Y22" s="373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3"/>
      <c r="Q23" s="1352">
        <f>B23</f>
        <v>111</v>
      </c>
      <c r="R23" s="705" t="s">
        <v>14</v>
      </c>
      <c r="S23" s="706">
        <f>F23</f>
        <v>100</v>
      </c>
      <c r="T23" s="705" t="s">
        <v>14</v>
      </c>
      <c r="U23" s="706">
        <f>H23</f>
        <v>100</v>
      </c>
      <c r="V23" s="705" t="s">
        <v>14</v>
      </c>
      <c r="W23" s="706">
        <f>J23</f>
        <v>100</v>
      </c>
      <c r="X23" s="1355"/>
      <c r="Y23" s="373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3"/>
      <c r="Q24" s="1352">
        <f t="shared" ref="Q24:Q34" si="11">B24</f>
        <v>111</v>
      </c>
      <c r="R24" s="705" t="s">
        <v>14</v>
      </c>
      <c r="S24" s="706">
        <f>F24</f>
        <v>100</v>
      </c>
      <c r="T24" s="705" t="s">
        <v>14</v>
      </c>
      <c r="U24" s="706">
        <f>H24</f>
        <v>100</v>
      </c>
      <c r="V24" s="705" t="s">
        <v>14</v>
      </c>
      <c r="W24" s="706">
        <f>J24</f>
        <v>100</v>
      </c>
      <c r="X24" s="1355"/>
      <c r="Y24" s="373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3"/>
      <c r="Q25" s="1343">
        <f t="shared" si="11"/>
        <v>111</v>
      </c>
      <c r="R25" s="701" t="s">
        <v>14</v>
      </c>
      <c r="S25" s="702">
        <f>F25</f>
        <v>100</v>
      </c>
      <c r="T25" s="701" t="s">
        <v>14</v>
      </c>
      <c r="U25" s="702">
        <f>H25</f>
        <v>100</v>
      </c>
      <c r="V25" s="701" t="s">
        <v>14</v>
      </c>
      <c r="W25" s="702">
        <f>J25</f>
        <v>100</v>
      </c>
      <c r="X25" s="703"/>
      <c r="Y25" s="373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7"/>
      <c r="Q27" s="707" t="str">
        <f t="shared" si="11"/>
        <v>成新率</v>
      </c>
      <c r="R27" s="708" t="s">
        <v>14</v>
      </c>
      <c r="S27" s="709" t="e">
        <f t="shared" si="12"/>
        <v>#N/A</v>
      </c>
      <c r="T27" s="708" t="s">
        <v>14</v>
      </c>
      <c r="U27" s="709" t="e">
        <f t="shared" si="13"/>
        <v>#N/A</v>
      </c>
      <c r="V27" s="708" t="s">
        <v>14</v>
      </c>
      <c r="W27" s="709" t="e">
        <f t="shared" si="14"/>
        <v>#N/A</v>
      </c>
      <c r="X27" s="710"/>
      <c r="Y27" s="373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7"/>
      <c r="Q28" s="1352" t="str">
        <f t="shared" si="11"/>
        <v>物业等级</v>
      </c>
      <c r="R28" s="705" t="s">
        <v>14</v>
      </c>
      <c r="S28" s="706">
        <f t="shared" si="12"/>
        <v>100</v>
      </c>
      <c r="T28" s="705" t="s">
        <v>14</v>
      </c>
      <c r="U28" s="706">
        <f t="shared" si="13"/>
        <v>100</v>
      </c>
      <c r="V28" s="705" t="s">
        <v>14</v>
      </c>
      <c r="W28" s="706">
        <f t="shared" si="14"/>
        <v>100</v>
      </c>
      <c r="X28" s="1355"/>
      <c r="Y28" s="373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7"/>
      <c r="Q29" s="1352" t="str">
        <f t="shared" si="11"/>
        <v>有无电梯</v>
      </c>
      <c r="R29" s="705" t="s">
        <v>14</v>
      </c>
      <c r="S29" s="706">
        <f t="shared" si="12"/>
        <v>100</v>
      </c>
      <c r="T29" s="705" t="s">
        <v>14</v>
      </c>
      <c r="U29" s="706">
        <f t="shared" si="13"/>
        <v>100</v>
      </c>
      <c r="V29" s="705" t="s">
        <v>14</v>
      </c>
      <c r="W29" s="706">
        <f t="shared" si="14"/>
        <v>100</v>
      </c>
      <c r="X29" s="1355"/>
      <c r="Y29" s="373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7"/>
      <c r="Q30" s="1352" t="str">
        <f t="shared" si="11"/>
        <v>建筑面积</v>
      </c>
      <c r="R30" s="705" t="s">
        <v>14</v>
      </c>
      <c r="S30" s="706" t="e">
        <f t="shared" si="12"/>
        <v>#N/A</v>
      </c>
      <c r="T30" s="705" t="s">
        <v>14</v>
      </c>
      <c r="U30" s="706" t="e">
        <f t="shared" si="13"/>
        <v>#N/A</v>
      </c>
      <c r="V30" s="705" t="s">
        <v>14</v>
      </c>
      <c r="W30" s="706" t="e">
        <f t="shared" si="14"/>
        <v>#N/A</v>
      </c>
      <c r="X30" s="1355"/>
      <c r="Y30" s="373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7"/>
      <c r="Q31" s="1343" t="str">
        <f t="shared" si="11"/>
        <v>是否封闭</v>
      </c>
      <c r="R31" s="701" t="s">
        <v>14</v>
      </c>
      <c r="S31" s="702">
        <f t="shared" si="12"/>
        <v>100</v>
      </c>
      <c r="T31" s="701" t="s">
        <v>14</v>
      </c>
      <c r="U31" s="702">
        <f t="shared" si="13"/>
        <v>100</v>
      </c>
      <c r="V31" s="701" t="s">
        <v>14</v>
      </c>
      <c r="W31" s="702">
        <f t="shared" si="14"/>
        <v>100</v>
      </c>
      <c r="X31" s="703"/>
      <c r="Y31" s="373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7" t="s">
        <v>1696</v>
      </c>
      <c r="Q32" s="1352">
        <f t="shared" si="11"/>
        <v>111</v>
      </c>
      <c r="R32" s="705" t="s">
        <v>14</v>
      </c>
      <c r="S32" s="706">
        <f t="shared" si="12"/>
        <v>100</v>
      </c>
      <c r="T32" s="705" t="s">
        <v>14</v>
      </c>
      <c r="U32" s="706">
        <f t="shared" si="13"/>
        <v>100</v>
      </c>
      <c r="V32" s="705" t="s">
        <v>14</v>
      </c>
      <c r="W32" s="706">
        <f t="shared" si="14"/>
        <v>100</v>
      </c>
      <c r="X32" s="1355"/>
      <c r="Y32" s="373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7"/>
      <c r="Q33" s="1352">
        <f t="shared" si="11"/>
        <v>111</v>
      </c>
      <c r="R33" s="705" t="s">
        <v>14</v>
      </c>
      <c r="S33" s="706">
        <f t="shared" si="12"/>
        <v>100</v>
      </c>
      <c r="T33" s="705" t="s">
        <v>14</v>
      </c>
      <c r="U33" s="706">
        <f t="shared" si="13"/>
        <v>100</v>
      </c>
      <c r="V33" s="705" t="s">
        <v>14</v>
      </c>
      <c r="W33" s="706">
        <f t="shared" si="14"/>
        <v>100</v>
      </c>
      <c r="X33" s="1355"/>
      <c r="Y33" s="373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7"/>
      <c r="Q34" s="1352">
        <f t="shared" si="11"/>
        <v>111</v>
      </c>
      <c r="R34" s="705" t="s">
        <v>14</v>
      </c>
      <c r="S34" s="706">
        <f t="shared" si="12"/>
        <v>100</v>
      </c>
      <c r="T34" s="705" t="s">
        <v>14</v>
      </c>
      <c r="U34" s="706">
        <f t="shared" si="13"/>
        <v>100</v>
      </c>
      <c r="V34" s="705" t="s">
        <v>14</v>
      </c>
      <c r="W34" s="706">
        <f t="shared" si="14"/>
        <v>100</v>
      </c>
      <c r="X34" s="1355"/>
      <c r="Y34" s="373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0" t="str">
        <f>A35</f>
        <v>成交单价（元/平方米）</v>
      </c>
      <c r="Q35" s="3730"/>
      <c r="R35" s="3731">
        <f>E35</f>
        <v>0</v>
      </c>
      <c r="S35" s="3731"/>
      <c r="T35" s="3731">
        <f>G35</f>
        <v>0</v>
      </c>
      <c r="U35" s="3731"/>
      <c r="V35" s="3731">
        <f>I35</f>
        <v>0</v>
      </c>
      <c r="W35" s="373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0" t="str">
        <f>A36</f>
        <v>比较价值（元/平方米）</v>
      </c>
      <c r="Q36" s="3730"/>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7" t="str">
        <f>A37</f>
        <v>估价对象XX用房的比较价值（楼面单价，元/平方米）</v>
      </c>
      <c r="Q37" s="3728"/>
      <c r="R37" s="3757" t="e">
        <f>IF(F1="售价",ROUND(IF(D36="简单平均",AVERAGE(R36:W36),R36*F36+T36*H36+V36*J36),0),ROUND(IF(D36="简单平均",AVERAGE(R36:V36),R36*F36+T36*H36+V36*J36),1))</f>
        <v>#DIV/0!</v>
      </c>
      <c r="S37" s="3757"/>
      <c r="T37" s="3757"/>
      <c r="U37" s="3757"/>
      <c r="V37" s="3757"/>
      <c r="W37" s="375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30"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30" ht="15.75" thickBot="1">
      <c r="A6" s="360"/>
      <c r="B6" s="361"/>
      <c r="C6" s="3708" t="s">
        <v>1677</v>
      </c>
      <c r="D6" s="3709"/>
      <c r="E6" s="3710" t="s">
        <v>1677</v>
      </c>
      <c r="F6" s="3711"/>
      <c r="G6" s="3708" t="s">
        <v>1677</v>
      </c>
      <c r="H6" s="3709"/>
      <c r="I6" s="3708" t="s">
        <v>1677</v>
      </c>
      <c r="J6" s="3709"/>
      <c r="K6" s="559" t="s">
        <v>1678</v>
      </c>
      <c r="L6" s="2715"/>
      <c r="M6" s="2716"/>
      <c r="N6" s="2716"/>
      <c r="O6" s="2716"/>
      <c r="P6" s="3721"/>
      <c r="Q6" s="3722"/>
      <c r="R6" s="3702"/>
      <c r="S6" s="3703"/>
      <c r="T6" s="3723"/>
      <c r="U6" s="3724"/>
      <c r="V6" s="3725"/>
      <c r="W6" s="3725"/>
      <c r="X6" s="1355"/>
      <c r="Y6" s="3723"/>
      <c r="Z6" s="3724"/>
      <c r="AA6" s="3697"/>
      <c r="AB6" s="3697"/>
      <c r="AC6" s="3697"/>
    </row>
    <row r="7" spans="1:30" s="108" customFormat="1" ht="15.75" thickBot="1">
      <c r="A7" s="362" t="s">
        <v>1679</v>
      </c>
      <c r="B7" s="363"/>
      <c r="C7" s="364">
        <f>'数据-取费表'!B2</f>
        <v>46006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0"/>
      <c r="Q12" s="1343" t="str">
        <f t="shared" si="6"/>
        <v>配建</v>
      </c>
      <c r="R12" s="701" t="s">
        <v>14</v>
      </c>
      <c r="S12" s="702">
        <f t="shared" si="0"/>
        <v>100</v>
      </c>
      <c r="T12" s="701" t="s">
        <v>14</v>
      </c>
      <c r="U12" s="702">
        <f t="shared" si="1"/>
        <v>100</v>
      </c>
      <c r="V12" s="701" t="s">
        <v>14</v>
      </c>
      <c r="W12" s="702">
        <f t="shared" si="2"/>
        <v>100</v>
      </c>
      <c r="X12" s="703"/>
      <c r="Y12" s="36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2" t="s">
        <v>1691</v>
      </c>
      <c r="Q15" s="1352" t="str">
        <f t="shared" si="6"/>
        <v>居住社区成熟度</v>
      </c>
      <c r="R15" s="705" t="s">
        <v>14</v>
      </c>
      <c r="S15" s="706">
        <f t="shared" si="0"/>
        <v>100</v>
      </c>
      <c r="T15" s="705" t="s">
        <v>14</v>
      </c>
      <c r="U15" s="706">
        <f t="shared" si="1"/>
        <v>100</v>
      </c>
      <c r="V15" s="705" t="s">
        <v>14</v>
      </c>
      <c r="W15" s="706">
        <f t="shared" si="2"/>
        <v>100</v>
      </c>
      <c r="X15" s="1355"/>
      <c r="Y15" s="373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3"/>
      <c r="Q17" s="1352" t="str">
        <f>B17</f>
        <v>商业繁华度</v>
      </c>
      <c r="R17" s="705" t="s">
        <v>14</v>
      </c>
      <c r="S17" s="706">
        <f>F17</f>
        <v>100</v>
      </c>
      <c r="T17" s="705" t="s">
        <v>14</v>
      </c>
      <c r="U17" s="706">
        <f>H17</f>
        <v>100</v>
      </c>
      <c r="V17" s="705" t="s">
        <v>14</v>
      </c>
      <c r="W17" s="706">
        <f>J17</f>
        <v>100</v>
      </c>
      <c r="X17" s="1355"/>
      <c r="Y17" s="373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3"/>
      <c r="Q19" s="1352" t="str">
        <f>B19</f>
        <v>办公集聚程度</v>
      </c>
      <c r="R19" s="705" t="s">
        <v>14</v>
      </c>
      <c r="S19" s="706">
        <f>F19</f>
        <v>100</v>
      </c>
      <c r="T19" s="705" t="s">
        <v>14</v>
      </c>
      <c r="U19" s="706">
        <f>H19</f>
        <v>100</v>
      </c>
      <c r="V19" s="705" t="s">
        <v>14</v>
      </c>
      <c r="W19" s="706">
        <f>J19</f>
        <v>100</v>
      </c>
      <c r="X19" s="1355"/>
      <c r="Y19" s="373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3"/>
      <c r="Q20" s="1352"/>
      <c r="R20" s="705"/>
      <c r="S20" s="706"/>
      <c r="T20" s="705"/>
      <c r="U20" s="706"/>
      <c r="V20" s="705"/>
      <c r="W20" s="706"/>
      <c r="X20" s="1355"/>
      <c r="Y20" s="373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3"/>
      <c r="Q21" s="1352" t="str">
        <f>B21</f>
        <v>交通便捷度</v>
      </c>
      <c r="R21" s="705" t="s">
        <v>14</v>
      </c>
      <c r="S21" s="706">
        <f>F21</f>
        <v>100</v>
      </c>
      <c r="T21" s="705" t="s">
        <v>14</v>
      </c>
      <c r="U21" s="706">
        <f>H21</f>
        <v>100</v>
      </c>
      <c r="V21" s="705" t="s">
        <v>14</v>
      </c>
      <c r="W21" s="706">
        <f>J21</f>
        <v>100</v>
      </c>
      <c r="X21" s="1355"/>
      <c r="Y21" s="373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3"/>
      <c r="Q23" s="1352" t="str">
        <f t="shared" ref="Q23:Q37" si="8">B23</f>
        <v>区域土地利用方向</v>
      </c>
      <c r="R23" s="705" t="s">
        <v>14</v>
      </c>
      <c r="S23" s="706">
        <f>F23</f>
        <v>100</v>
      </c>
      <c r="T23" s="705" t="s">
        <v>14</v>
      </c>
      <c r="U23" s="706">
        <f>H23</f>
        <v>100</v>
      </c>
      <c r="V23" s="705" t="s">
        <v>14</v>
      </c>
      <c r="W23" s="706">
        <f>J23</f>
        <v>100</v>
      </c>
      <c r="X23" s="1355"/>
      <c r="Y23" s="373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3"/>
      <c r="Q24" s="1352"/>
      <c r="R24" s="705"/>
      <c r="S24" s="706"/>
      <c r="T24" s="705"/>
      <c r="U24" s="706"/>
      <c r="V24" s="705"/>
      <c r="W24" s="706"/>
      <c r="X24" s="1355"/>
      <c r="Y24" s="373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3"/>
      <c r="Q25" s="1352" t="str">
        <f t="shared" si="8"/>
        <v>自然及人文环境状况</v>
      </c>
      <c r="R25" s="705" t="s">
        <v>14</v>
      </c>
      <c r="S25" s="706">
        <f>F25</f>
        <v>100</v>
      </c>
      <c r="T25" s="705" t="s">
        <v>14</v>
      </c>
      <c r="U25" s="706">
        <f>H25</f>
        <v>100</v>
      </c>
      <c r="V25" s="705" t="s">
        <v>14</v>
      </c>
      <c r="W25" s="706">
        <f>J25</f>
        <v>100</v>
      </c>
      <c r="X25" s="1355"/>
      <c r="Y25" s="373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3"/>
      <c r="Q26" s="1352"/>
      <c r="R26" s="705"/>
      <c r="S26" s="706"/>
      <c r="T26" s="705"/>
      <c r="U26" s="706"/>
      <c r="V26" s="705"/>
      <c r="W26" s="706"/>
      <c r="X26" s="1355"/>
      <c r="Y26" s="373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3"/>
      <c r="Q27" s="1343" t="str">
        <f t="shared" si="8"/>
        <v>公共配套设施</v>
      </c>
      <c r="R27" s="701" t="s">
        <v>14</v>
      </c>
      <c r="S27" s="702">
        <f>F27</f>
        <v>100</v>
      </c>
      <c r="T27" s="701" t="s">
        <v>14</v>
      </c>
      <c r="U27" s="702">
        <f>H27</f>
        <v>100</v>
      </c>
      <c r="V27" s="701" t="s">
        <v>14</v>
      </c>
      <c r="W27" s="702">
        <f>J27</f>
        <v>100</v>
      </c>
      <c r="X27" s="703"/>
      <c r="Y27" s="373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3"/>
      <c r="Q28" s="1343"/>
      <c r="R28" s="701"/>
      <c r="S28" s="702"/>
      <c r="T28" s="701"/>
      <c r="U28" s="702"/>
      <c r="V28" s="701"/>
      <c r="W28" s="702"/>
      <c r="X28" s="703"/>
      <c r="Y28" s="373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3"/>
      <c r="Q29" s="1343" t="str">
        <f t="shared" ref="Q29" si="9">B29</f>
        <v>基础设施水平</v>
      </c>
      <c r="R29" s="701" t="s">
        <v>14</v>
      </c>
      <c r="S29" s="702">
        <f>F29</f>
        <v>100</v>
      </c>
      <c r="T29" s="701" t="s">
        <v>14</v>
      </c>
      <c r="U29" s="702">
        <f>H29</f>
        <v>100</v>
      </c>
      <c r="V29" s="701" t="s">
        <v>14</v>
      </c>
      <c r="W29" s="702">
        <f>J29</f>
        <v>100</v>
      </c>
      <c r="X29" s="703"/>
      <c r="Y29" s="373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3"/>
      <c r="Q30" s="1343"/>
      <c r="R30" s="701"/>
      <c r="S30" s="702"/>
      <c r="T30" s="701"/>
      <c r="U30" s="702"/>
      <c r="V30" s="701"/>
      <c r="W30" s="702"/>
      <c r="X30" s="703"/>
      <c r="Y30" s="373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3"/>
      <c r="Q32" s="1352" t="str">
        <f t="shared" si="8"/>
        <v>毗邻道路的类型与等级</v>
      </c>
      <c r="R32" s="705" t="s">
        <v>14</v>
      </c>
      <c r="S32" s="706">
        <f t="shared" si="10"/>
        <v>100</v>
      </c>
      <c r="T32" s="705" t="s">
        <v>14</v>
      </c>
      <c r="U32" s="706">
        <f t="shared" si="11"/>
        <v>100</v>
      </c>
      <c r="V32" s="705" t="s">
        <v>14</v>
      </c>
      <c r="W32" s="706">
        <f t="shared" si="12"/>
        <v>100</v>
      </c>
      <c r="X32" s="1355"/>
      <c r="Y32" s="373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3"/>
      <c r="Q33" s="1352"/>
      <c r="R33" s="705"/>
      <c r="S33" s="706"/>
      <c r="T33" s="705"/>
      <c r="U33" s="706"/>
      <c r="V33" s="705"/>
      <c r="W33" s="706"/>
      <c r="X33" s="1355"/>
      <c r="Y33" s="373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3"/>
      <c r="Q34" s="1352" t="str">
        <f t="shared" si="8"/>
        <v>土地级别</v>
      </c>
      <c r="R34" s="705" t="s">
        <v>14</v>
      </c>
      <c r="S34" s="706">
        <f t="shared" si="10"/>
        <v>100</v>
      </c>
      <c r="T34" s="705" t="s">
        <v>14</v>
      </c>
      <c r="U34" s="706">
        <f t="shared" si="11"/>
        <v>100</v>
      </c>
      <c r="V34" s="705" t="s">
        <v>14</v>
      </c>
      <c r="W34" s="706">
        <f t="shared" si="12"/>
        <v>100</v>
      </c>
      <c r="X34" s="1355"/>
      <c r="Y34" s="373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3"/>
      <c r="Q35" s="1352">
        <f t="shared" si="8"/>
        <v>111</v>
      </c>
      <c r="R35" s="705" t="s">
        <v>14</v>
      </c>
      <c r="S35" s="706">
        <f t="shared" si="10"/>
        <v>100</v>
      </c>
      <c r="T35" s="705" t="s">
        <v>14</v>
      </c>
      <c r="U35" s="706">
        <f t="shared" si="11"/>
        <v>100</v>
      </c>
      <c r="V35" s="705" t="s">
        <v>14</v>
      </c>
      <c r="W35" s="706">
        <f t="shared" si="12"/>
        <v>100</v>
      </c>
      <c r="X35" s="1355"/>
      <c r="Y35" s="373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6" t="s">
        <v>1696</v>
      </c>
      <c r="Q36" s="1352">
        <f t="shared" si="8"/>
        <v>111</v>
      </c>
      <c r="R36" s="705" t="s">
        <v>14</v>
      </c>
      <c r="S36" s="706">
        <f t="shared" si="10"/>
        <v>100</v>
      </c>
      <c r="T36" s="705" t="s">
        <v>14</v>
      </c>
      <c r="U36" s="706">
        <f t="shared" si="11"/>
        <v>100</v>
      </c>
      <c r="V36" s="705" t="s">
        <v>14</v>
      </c>
      <c r="W36" s="706">
        <f t="shared" si="12"/>
        <v>100</v>
      </c>
      <c r="X36" s="1355"/>
      <c r="Y36" s="373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7"/>
      <c r="Q37" s="1352">
        <f t="shared" si="8"/>
        <v>111</v>
      </c>
      <c r="R37" s="708" t="s">
        <v>14</v>
      </c>
      <c r="S37" s="709">
        <f t="shared" si="10"/>
        <v>100</v>
      </c>
      <c r="T37" s="708" t="s">
        <v>14</v>
      </c>
      <c r="U37" s="709">
        <f t="shared" si="11"/>
        <v>100</v>
      </c>
      <c r="V37" s="708" t="s">
        <v>14</v>
      </c>
      <c r="W37" s="709">
        <f t="shared" si="12"/>
        <v>100</v>
      </c>
      <c r="X37" s="710"/>
      <c r="Y37" s="373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7"/>
      <c r="Q38" s="1352" t="str">
        <f>B38</f>
        <v>宗地面积</v>
      </c>
      <c r="R38" s="705" t="s">
        <v>14</v>
      </c>
      <c r="S38" s="706" t="e">
        <f t="shared" si="10"/>
        <v>#N/A</v>
      </c>
      <c r="T38" s="705" t="s">
        <v>14</v>
      </c>
      <c r="U38" s="706" t="e">
        <f t="shared" si="11"/>
        <v>#N/A</v>
      </c>
      <c r="V38" s="705" t="s">
        <v>14</v>
      </c>
      <c r="W38" s="706" t="e">
        <f t="shared" si="12"/>
        <v>#N/A</v>
      </c>
      <c r="X38" s="1355"/>
      <c r="Y38" s="373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7"/>
      <c r="Q39" s="1352" t="str">
        <f t="shared" ref="Q39:Q45" si="14">B39</f>
        <v>宗地形状</v>
      </c>
      <c r="R39" s="705" t="s">
        <v>14</v>
      </c>
      <c r="S39" s="706">
        <f t="shared" si="10"/>
        <v>100</v>
      </c>
      <c r="T39" s="705" t="s">
        <v>14</v>
      </c>
      <c r="U39" s="706">
        <f t="shared" si="11"/>
        <v>100</v>
      </c>
      <c r="V39" s="705" t="s">
        <v>14</v>
      </c>
      <c r="W39" s="706">
        <f t="shared" si="12"/>
        <v>100</v>
      </c>
      <c r="X39" s="1355"/>
      <c r="Y39" s="373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7"/>
      <c r="Q40" s="1352" t="str">
        <f t="shared" si="14"/>
        <v>临街宽度及深度</v>
      </c>
      <c r="R40" s="705" t="s">
        <v>14</v>
      </c>
      <c r="S40" s="706">
        <f t="shared" si="10"/>
        <v>100</v>
      </c>
      <c r="T40" s="705" t="s">
        <v>14</v>
      </c>
      <c r="U40" s="706">
        <f t="shared" si="11"/>
        <v>100</v>
      </c>
      <c r="V40" s="705" t="s">
        <v>14</v>
      </c>
      <c r="W40" s="706">
        <f t="shared" si="12"/>
        <v>100</v>
      </c>
      <c r="X40" s="1355"/>
      <c r="Y40" s="373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7"/>
      <c r="Q41" s="1352" t="str">
        <f t="shared" si="14"/>
        <v>宗地开发程度</v>
      </c>
      <c r="R41" s="701" t="s">
        <v>14</v>
      </c>
      <c r="S41" s="702">
        <f t="shared" si="10"/>
        <v>100</v>
      </c>
      <c r="T41" s="701" t="s">
        <v>14</v>
      </c>
      <c r="U41" s="702">
        <f t="shared" si="11"/>
        <v>100</v>
      </c>
      <c r="V41" s="701" t="s">
        <v>14</v>
      </c>
      <c r="W41" s="702">
        <f t="shared" si="12"/>
        <v>100</v>
      </c>
      <c r="X41" s="703"/>
      <c r="Y41" s="373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7" t="s">
        <v>1696</v>
      </c>
      <c r="Q42" s="1352" t="str">
        <f t="shared" si="14"/>
        <v>工程地质条件</v>
      </c>
      <c r="R42" s="705" t="s">
        <v>14</v>
      </c>
      <c r="S42" s="706">
        <f t="shared" si="10"/>
        <v>100</v>
      </c>
      <c r="T42" s="705" t="s">
        <v>14</v>
      </c>
      <c r="U42" s="706">
        <f t="shared" si="11"/>
        <v>100</v>
      </c>
      <c r="V42" s="705" t="s">
        <v>14</v>
      </c>
      <c r="W42" s="706">
        <f t="shared" si="12"/>
        <v>100</v>
      </c>
      <c r="X42" s="1355"/>
      <c r="Y42" s="373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7"/>
      <c r="Q43" s="1352">
        <f t="shared" si="14"/>
        <v>111</v>
      </c>
      <c r="R43" s="705" t="s">
        <v>14</v>
      </c>
      <c r="S43" s="706">
        <f t="shared" si="10"/>
        <v>100</v>
      </c>
      <c r="T43" s="705" t="s">
        <v>14</v>
      </c>
      <c r="U43" s="706">
        <f t="shared" si="11"/>
        <v>100</v>
      </c>
      <c r="V43" s="705" t="s">
        <v>14</v>
      </c>
      <c r="W43" s="706">
        <f t="shared" si="12"/>
        <v>100</v>
      </c>
      <c r="X43" s="1355"/>
      <c r="Y43" s="373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7"/>
      <c r="Q44" s="1352">
        <f t="shared" si="14"/>
        <v>111</v>
      </c>
      <c r="R44" s="705" t="s">
        <v>14</v>
      </c>
      <c r="S44" s="706">
        <f t="shared" si="10"/>
        <v>100</v>
      </c>
      <c r="T44" s="705" t="s">
        <v>14</v>
      </c>
      <c r="U44" s="706">
        <f t="shared" si="11"/>
        <v>100</v>
      </c>
      <c r="V44" s="705" t="s">
        <v>14</v>
      </c>
      <c r="W44" s="706">
        <f t="shared" si="12"/>
        <v>100</v>
      </c>
      <c r="X44" s="1355"/>
      <c r="Y44" s="373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7"/>
      <c r="Q45" s="1352">
        <f t="shared" si="14"/>
        <v>111</v>
      </c>
      <c r="R45" s="708" t="s">
        <v>14</v>
      </c>
      <c r="S45" s="709">
        <f t="shared" si="10"/>
        <v>100</v>
      </c>
      <c r="T45" s="708" t="s">
        <v>14</v>
      </c>
      <c r="U45" s="709">
        <f t="shared" si="11"/>
        <v>100</v>
      </c>
      <c r="V45" s="708" t="s">
        <v>14</v>
      </c>
      <c r="W45" s="709">
        <f t="shared" si="12"/>
        <v>100</v>
      </c>
      <c r="X45" s="710"/>
      <c r="Y45" s="373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0" t="str">
        <f>A46</f>
        <v>成交单价</v>
      </c>
      <c r="Q46" s="3730"/>
      <c r="R46" s="3725">
        <f>E46</f>
        <v>0</v>
      </c>
      <c r="S46" s="3725"/>
      <c r="T46" s="3725">
        <f>G46</f>
        <v>0</v>
      </c>
      <c r="U46" s="3725"/>
      <c r="V46" s="3725">
        <f>I46</f>
        <v>0</v>
      </c>
      <c r="W46" s="372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0" t="str">
        <f>A47</f>
        <v>比较价值（元/平方米）</v>
      </c>
      <c r="Q47" s="3730"/>
      <c r="R47" s="3758" t="e">
        <f>ROUND(PRODUCT(R46,AA7:AA45),0)</f>
        <v>#DIV/0!</v>
      </c>
      <c r="S47" s="3758"/>
      <c r="T47" s="3758" t="e">
        <f>ROUND(PRODUCT(T46,AB7:AB45),0)</f>
        <v>#DIV/0!</v>
      </c>
      <c r="U47" s="3758"/>
      <c r="V47" s="3758" t="e">
        <f>ROUND(PRODUCT(V46,AC7:AC45),0)</f>
        <v>#DIV/0!</v>
      </c>
      <c r="W47" s="375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7" t="str">
        <f>A48</f>
        <v>估价对象XX用房的比较价值（楼面单价，元/平方米）</v>
      </c>
      <c r="Q48" s="3728"/>
      <c r="R48" s="3759" t="e">
        <f>ROUND(IF(D47="简单平均",AVERAGE(R47:W47),R47*F47+T47*H47+V47*J47),0)</f>
        <v>#DIV/0!</v>
      </c>
      <c r="S48" s="3759"/>
      <c r="T48" s="3759"/>
      <c r="U48" s="3759"/>
      <c r="V48" s="3759"/>
      <c r="W48" s="375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12"/>
      <c r="H56" s="373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00" t="s">
        <v>1771</v>
      </c>
      <c r="S4" s="3701"/>
      <c r="T4" s="3700" t="s">
        <v>1772</v>
      </c>
      <c r="U4" s="3701"/>
      <c r="V4" s="3725" t="s">
        <v>1773</v>
      </c>
      <c r="W4" s="3725"/>
      <c r="X4" s="1355"/>
      <c r="Y4" s="3700" t="s">
        <v>1775</v>
      </c>
      <c r="Z4" s="3701"/>
      <c r="AA4" s="3695" t="s">
        <v>1771</v>
      </c>
      <c r="AB4" s="3696" t="s">
        <v>1772</v>
      </c>
      <c r="AC4" s="3695" t="s">
        <v>1773</v>
      </c>
    </row>
    <row r="5" spans="1:29" ht="15">
      <c r="A5" s="358"/>
      <c r="B5" s="359"/>
      <c r="C5" s="3706" t="s">
        <v>1673</v>
      </c>
      <c r="D5" s="3707"/>
      <c r="E5" s="3704" t="s">
        <v>1674</v>
      </c>
      <c r="F5" s="3705"/>
      <c r="G5" s="3706" t="s">
        <v>1675</v>
      </c>
      <c r="H5" s="3707"/>
      <c r="I5" s="3706" t="s">
        <v>1676</v>
      </c>
      <c r="J5" s="3707"/>
      <c r="K5" s="559"/>
      <c r="L5" s="2715"/>
      <c r="M5" s="2716"/>
      <c r="N5" s="2716"/>
      <c r="O5" s="2716"/>
      <c r="P5" s="3719"/>
      <c r="Q5" s="3720"/>
      <c r="R5" s="3702"/>
      <c r="S5" s="3703"/>
      <c r="T5" s="3702"/>
      <c r="U5" s="3703"/>
      <c r="V5" s="3725"/>
      <c r="W5" s="3725"/>
      <c r="X5" s="1355"/>
      <c r="Y5" s="3702"/>
      <c r="Z5" s="3703"/>
      <c r="AA5" s="3696"/>
      <c r="AB5" s="3696"/>
      <c r="AC5" s="3696"/>
    </row>
    <row r="6" spans="1:29" ht="15.75" thickBot="1">
      <c r="A6" s="360"/>
      <c r="B6" s="361"/>
      <c r="C6" s="3761" t="s">
        <v>1919</v>
      </c>
      <c r="D6" s="3762"/>
      <c r="E6" s="3763" t="s">
        <v>1919</v>
      </c>
      <c r="F6" s="3764"/>
      <c r="G6" s="3761" t="s">
        <v>1919</v>
      </c>
      <c r="H6" s="3762"/>
      <c r="I6" s="3761" t="s">
        <v>1919</v>
      </c>
      <c r="J6" s="3762"/>
      <c r="K6" s="559" t="s">
        <v>1678</v>
      </c>
      <c r="L6" s="2715"/>
      <c r="M6" s="2716"/>
      <c r="N6" s="2716"/>
      <c r="O6" s="2716"/>
      <c r="P6" s="3721"/>
      <c r="Q6" s="3722"/>
      <c r="R6" s="3702"/>
      <c r="S6" s="3703"/>
      <c r="T6" s="3723"/>
      <c r="U6" s="3724"/>
      <c r="V6" s="3725"/>
      <c r="W6" s="3725"/>
      <c r="X6" s="1355"/>
      <c r="Y6" s="3723"/>
      <c r="Z6" s="3724"/>
      <c r="AA6" s="3697"/>
      <c r="AB6" s="3697"/>
      <c r="AC6" s="3697"/>
    </row>
    <row r="7" spans="1:29" s="108" customFormat="1" ht="15.75" thickBot="1">
      <c r="A7" s="362" t="s">
        <v>1679</v>
      </c>
      <c r="B7" s="363"/>
      <c r="C7" s="364">
        <f>'数据-取费表'!B2</f>
        <v>46006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8" t="s">
        <v>1680</v>
      </c>
      <c r="Q7" s="3726"/>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0" t="s">
        <v>1686</v>
      </c>
      <c r="Q9" s="1343" t="str">
        <f t="shared" ref="Q9:Q15" si="6">B9</f>
        <v>用途</v>
      </c>
      <c r="R9" s="701" t="s">
        <v>14</v>
      </c>
      <c r="S9" s="702">
        <f t="shared" si="0"/>
        <v>100</v>
      </c>
      <c r="T9" s="701" t="s">
        <v>14</v>
      </c>
      <c r="U9" s="702">
        <f t="shared" si="1"/>
        <v>100</v>
      </c>
      <c r="V9" s="701" t="s">
        <v>14</v>
      </c>
      <c r="W9" s="702">
        <f t="shared" si="2"/>
        <v>100</v>
      </c>
      <c r="X9" s="703"/>
      <c r="Y9" s="36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30"/>
      <c r="Q10" s="1343" t="str">
        <f t="shared" si="6"/>
        <v>土地使用年限（年）</v>
      </c>
      <c r="R10" s="701" t="s">
        <v>14</v>
      </c>
      <c r="S10" s="702" t="e">
        <f t="shared" si="0"/>
        <v>#DIV/0!</v>
      </c>
      <c r="T10" s="701" t="s">
        <v>14</v>
      </c>
      <c r="U10" s="702" t="e">
        <f t="shared" si="1"/>
        <v>#DIV/0!</v>
      </c>
      <c r="V10" s="701" t="s">
        <v>14</v>
      </c>
      <c r="W10" s="702" t="e">
        <f t="shared" si="2"/>
        <v>#DIV/0!</v>
      </c>
      <c r="X10" s="703"/>
      <c r="Y10" s="364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0"/>
      <c r="Q11" s="1343" t="str">
        <f t="shared" si="6"/>
        <v>容积率</v>
      </c>
      <c r="R11" s="701" t="s">
        <v>14</v>
      </c>
      <c r="S11" s="702" t="e">
        <f t="shared" si="0"/>
        <v>#N/A</v>
      </c>
      <c r="T11" s="701" t="s">
        <v>14</v>
      </c>
      <c r="U11" s="702" t="e">
        <f t="shared" si="1"/>
        <v>#N/A</v>
      </c>
      <c r="V11" s="701" t="s">
        <v>14</v>
      </c>
      <c r="W11" s="702" t="e">
        <f t="shared" si="2"/>
        <v>#N/A</v>
      </c>
      <c r="X11" s="703"/>
      <c r="Y11" s="36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0"/>
      <c r="Q12" s="1343">
        <f t="shared" si="6"/>
        <v>111</v>
      </c>
      <c r="R12" s="701" t="s">
        <v>14</v>
      </c>
      <c r="S12" s="702">
        <f t="shared" si="0"/>
        <v>100</v>
      </c>
      <c r="T12" s="701" t="s">
        <v>14</v>
      </c>
      <c r="U12" s="702">
        <f t="shared" si="1"/>
        <v>100</v>
      </c>
      <c r="V12" s="701" t="s">
        <v>14</v>
      </c>
      <c r="W12" s="702">
        <f t="shared" si="2"/>
        <v>100</v>
      </c>
      <c r="X12" s="703"/>
      <c r="Y12" s="36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0"/>
      <c r="Q13" s="1343">
        <f t="shared" si="6"/>
        <v>111</v>
      </c>
      <c r="R13" s="701" t="s">
        <v>14</v>
      </c>
      <c r="S13" s="702">
        <f t="shared" si="0"/>
        <v>100</v>
      </c>
      <c r="T13" s="701" t="s">
        <v>14</v>
      </c>
      <c r="U13" s="702">
        <f t="shared" si="1"/>
        <v>100</v>
      </c>
      <c r="V13" s="701" t="s">
        <v>14</v>
      </c>
      <c r="W13" s="702">
        <f t="shared" si="2"/>
        <v>100</v>
      </c>
      <c r="X13" s="703"/>
      <c r="Y13" s="36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0"/>
      <c r="Q14" s="1343">
        <f t="shared" si="6"/>
        <v>111</v>
      </c>
      <c r="R14" s="701" t="s">
        <v>14</v>
      </c>
      <c r="S14" s="702">
        <f t="shared" si="0"/>
        <v>100</v>
      </c>
      <c r="T14" s="701" t="s">
        <v>14</v>
      </c>
      <c r="U14" s="702">
        <f t="shared" si="1"/>
        <v>100</v>
      </c>
      <c r="V14" s="701" t="s">
        <v>14</v>
      </c>
      <c r="W14" s="702">
        <f t="shared" si="2"/>
        <v>100</v>
      </c>
      <c r="X14" s="703"/>
      <c r="Y14" s="364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2" t="s">
        <v>1691</v>
      </c>
      <c r="Q15" s="1352" t="str">
        <f t="shared" si="6"/>
        <v>产业集聚程度</v>
      </c>
      <c r="R15" s="705" t="s">
        <v>14</v>
      </c>
      <c r="S15" s="706">
        <f t="shared" si="0"/>
        <v>100</v>
      </c>
      <c r="T15" s="705" t="s">
        <v>14</v>
      </c>
      <c r="U15" s="706">
        <f t="shared" si="1"/>
        <v>100</v>
      </c>
      <c r="V15" s="705" t="s">
        <v>14</v>
      </c>
      <c r="W15" s="706">
        <f t="shared" si="2"/>
        <v>100</v>
      </c>
      <c r="X15" s="1355"/>
      <c r="Y15" s="373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3"/>
      <c r="Q16" s="1352"/>
      <c r="R16" s="705"/>
      <c r="S16" s="706"/>
      <c r="T16" s="705"/>
      <c r="U16" s="706"/>
      <c r="V16" s="705"/>
      <c r="W16" s="706"/>
      <c r="X16" s="1355"/>
      <c r="Y16" s="373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3"/>
      <c r="Q17" s="1352" t="str">
        <f>B17</f>
        <v>交通便捷度</v>
      </c>
      <c r="R17" s="705" t="s">
        <v>14</v>
      </c>
      <c r="S17" s="706">
        <f>F17</f>
        <v>100</v>
      </c>
      <c r="T17" s="705" t="s">
        <v>14</v>
      </c>
      <c r="U17" s="706">
        <f>H17</f>
        <v>100</v>
      </c>
      <c r="V17" s="705" t="s">
        <v>14</v>
      </c>
      <c r="W17" s="706">
        <f>J17</f>
        <v>100</v>
      </c>
      <c r="X17" s="1355"/>
      <c r="Y17" s="373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3"/>
      <c r="Q18" s="1352"/>
      <c r="R18" s="705"/>
      <c r="S18" s="706"/>
      <c r="T18" s="705"/>
      <c r="U18" s="706"/>
      <c r="V18" s="705"/>
      <c r="W18" s="706"/>
      <c r="X18" s="1355"/>
      <c r="Y18" s="373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3"/>
      <c r="Q19" s="1352" t="str">
        <f t="shared" ref="Q19:Q33" si="8">B19</f>
        <v>区域土地利用方向</v>
      </c>
      <c r="R19" s="705" t="s">
        <v>14</v>
      </c>
      <c r="S19" s="706">
        <f>F19</f>
        <v>100</v>
      </c>
      <c r="T19" s="705" t="s">
        <v>14</v>
      </c>
      <c r="U19" s="706">
        <f>H19</f>
        <v>100</v>
      </c>
      <c r="V19" s="705" t="s">
        <v>14</v>
      </c>
      <c r="W19" s="706">
        <f>J19</f>
        <v>100</v>
      </c>
      <c r="X19" s="1355"/>
      <c r="Y19" s="373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3"/>
      <c r="Q20" s="1352"/>
      <c r="R20" s="705"/>
      <c r="S20" s="706"/>
      <c r="T20" s="705"/>
      <c r="U20" s="706"/>
      <c r="V20" s="705"/>
      <c r="W20" s="706"/>
      <c r="X20" s="1355"/>
      <c r="Y20" s="373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3"/>
      <c r="Q21" s="1352" t="str">
        <f t="shared" si="8"/>
        <v>环境状况</v>
      </c>
      <c r="R21" s="705" t="s">
        <v>14</v>
      </c>
      <c r="S21" s="706">
        <f>F21</f>
        <v>100</v>
      </c>
      <c r="T21" s="705" t="s">
        <v>14</v>
      </c>
      <c r="U21" s="706">
        <f>H21</f>
        <v>100</v>
      </c>
      <c r="V21" s="705" t="s">
        <v>14</v>
      </c>
      <c r="W21" s="706">
        <f>J21</f>
        <v>100</v>
      </c>
      <c r="X21" s="1355"/>
      <c r="Y21" s="373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3"/>
      <c r="Q22" s="1352"/>
      <c r="R22" s="705"/>
      <c r="S22" s="706"/>
      <c r="T22" s="705"/>
      <c r="U22" s="706"/>
      <c r="V22" s="705"/>
      <c r="W22" s="706"/>
      <c r="X22" s="1355"/>
      <c r="Y22" s="373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3"/>
      <c r="Q23" s="1343" t="str">
        <f t="shared" si="8"/>
        <v>公共配套设施</v>
      </c>
      <c r="R23" s="701" t="s">
        <v>14</v>
      </c>
      <c r="S23" s="702">
        <f>F23</f>
        <v>100</v>
      </c>
      <c r="T23" s="701" t="s">
        <v>14</v>
      </c>
      <c r="U23" s="702">
        <f>H23</f>
        <v>100</v>
      </c>
      <c r="V23" s="701" t="s">
        <v>14</v>
      </c>
      <c r="W23" s="702">
        <f>J23</f>
        <v>100</v>
      </c>
      <c r="X23" s="703"/>
      <c r="Y23" s="373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3"/>
      <c r="Q24" s="1343"/>
      <c r="R24" s="701"/>
      <c r="S24" s="702"/>
      <c r="T24" s="701"/>
      <c r="U24" s="702"/>
      <c r="V24" s="701"/>
      <c r="W24" s="702"/>
      <c r="X24" s="703"/>
      <c r="Y24" s="373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3"/>
      <c r="Q25" s="1343" t="str">
        <f t="shared" ref="Q25" si="9">B25</f>
        <v>基础设施水平</v>
      </c>
      <c r="R25" s="701" t="s">
        <v>14</v>
      </c>
      <c r="S25" s="702">
        <f>F25</f>
        <v>100</v>
      </c>
      <c r="T25" s="701" t="s">
        <v>14</v>
      </c>
      <c r="U25" s="702">
        <f>H25</f>
        <v>100</v>
      </c>
      <c r="V25" s="701" t="s">
        <v>14</v>
      </c>
      <c r="W25" s="702">
        <f>J25</f>
        <v>100</v>
      </c>
      <c r="X25" s="703"/>
      <c r="Y25" s="373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3"/>
      <c r="Q26" s="1343"/>
      <c r="R26" s="701"/>
      <c r="S26" s="702"/>
      <c r="T26" s="701"/>
      <c r="U26" s="702"/>
      <c r="V26" s="701"/>
      <c r="W26" s="702"/>
      <c r="X26" s="703"/>
      <c r="Y26" s="373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3"/>
      <c r="Q28" s="1352" t="str">
        <f t="shared" si="8"/>
        <v>毗邻道路的类型与等级</v>
      </c>
      <c r="R28" s="705" t="s">
        <v>14</v>
      </c>
      <c r="S28" s="706">
        <f t="shared" si="10"/>
        <v>100</v>
      </c>
      <c r="T28" s="705" t="s">
        <v>14</v>
      </c>
      <c r="U28" s="706">
        <f t="shared" si="11"/>
        <v>100</v>
      </c>
      <c r="V28" s="705" t="s">
        <v>14</v>
      </c>
      <c r="W28" s="706">
        <f t="shared" si="12"/>
        <v>100</v>
      </c>
      <c r="X28" s="1355"/>
      <c r="Y28" s="373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3"/>
      <c r="Q29" s="1352"/>
      <c r="R29" s="705"/>
      <c r="S29" s="706"/>
      <c r="T29" s="705"/>
      <c r="U29" s="706"/>
      <c r="V29" s="705"/>
      <c r="W29" s="706"/>
      <c r="X29" s="1355"/>
      <c r="Y29" s="373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3"/>
      <c r="Q30" s="1352" t="str">
        <f t="shared" si="8"/>
        <v>土地级别</v>
      </c>
      <c r="R30" s="705" t="s">
        <v>14</v>
      </c>
      <c r="S30" s="706">
        <f t="shared" si="10"/>
        <v>100</v>
      </c>
      <c r="T30" s="705" t="s">
        <v>14</v>
      </c>
      <c r="U30" s="706">
        <f t="shared" si="11"/>
        <v>100</v>
      </c>
      <c r="V30" s="705" t="s">
        <v>14</v>
      </c>
      <c r="W30" s="706">
        <f t="shared" si="12"/>
        <v>100</v>
      </c>
      <c r="X30" s="1355"/>
      <c r="Y30" s="373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3"/>
      <c r="Q31" s="1352">
        <f t="shared" si="8"/>
        <v>111</v>
      </c>
      <c r="R31" s="705" t="s">
        <v>14</v>
      </c>
      <c r="S31" s="706">
        <f t="shared" si="10"/>
        <v>100</v>
      </c>
      <c r="T31" s="705" t="s">
        <v>14</v>
      </c>
      <c r="U31" s="706">
        <f t="shared" si="11"/>
        <v>100</v>
      </c>
      <c r="V31" s="705" t="s">
        <v>14</v>
      </c>
      <c r="W31" s="706">
        <f t="shared" si="12"/>
        <v>100</v>
      </c>
      <c r="X31" s="1355"/>
      <c r="Y31" s="373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6" t="s">
        <v>1696</v>
      </c>
      <c r="Q32" s="1352">
        <f t="shared" si="8"/>
        <v>111</v>
      </c>
      <c r="R32" s="705" t="s">
        <v>14</v>
      </c>
      <c r="S32" s="706">
        <f t="shared" si="10"/>
        <v>100</v>
      </c>
      <c r="T32" s="705" t="s">
        <v>14</v>
      </c>
      <c r="U32" s="706">
        <f t="shared" si="11"/>
        <v>100</v>
      </c>
      <c r="V32" s="705" t="s">
        <v>14</v>
      </c>
      <c r="W32" s="706">
        <f t="shared" si="12"/>
        <v>100</v>
      </c>
      <c r="X32" s="1355"/>
      <c r="Y32" s="373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7"/>
      <c r="Q33" s="1352">
        <f t="shared" si="8"/>
        <v>111</v>
      </c>
      <c r="R33" s="708" t="s">
        <v>14</v>
      </c>
      <c r="S33" s="709">
        <f t="shared" si="10"/>
        <v>100</v>
      </c>
      <c r="T33" s="708" t="s">
        <v>14</v>
      </c>
      <c r="U33" s="709">
        <f t="shared" si="11"/>
        <v>100</v>
      </c>
      <c r="V33" s="708" t="s">
        <v>14</v>
      </c>
      <c r="W33" s="709">
        <f t="shared" si="12"/>
        <v>100</v>
      </c>
      <c r="X33" s="710"/>
      <c r="Y33" s="373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7"/>
      <c r="Q34" s="1352" t="str">
        <f>B34</f>
        <v>宗地面积</v>
      </c>
      <c r="R34" s="705" t="s">
        <v>14</v>
      </c>
      <c r="S34" s="706" t="e">
        <f t="shared" si="10"/>
        <v>#N/A</v>
      </c>
      <c r="T34" s="705" t="s">
        <v>14</v>
      </c>
      <c r="U34" s="706" t="e">
        <f t="shared" si="11"/>
        <v>#N/A</v>
      </c>
      <c r="V34" s="705" t="s">
        <v>14</v>
      </c>
      <c r="W34" s="706" t="e">
        <f t="shared" si="12"/>
        <v>#N/A</v>
      </c>
      <c r="X34" s="1355"/>
      <c r="Y34" s="373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7"/>
      <c r="Q35" s="1352" t="str">
        <f t="shared" ref="Q35:Q40" si="14">B35</f>
        <v>宗地形状</v>
      </c>
      <c r="R35" s="705" t="s">
        <v>14</v>
      </c>
      <c r="S35" s="706">
        <f t="shared" si="10"/>
        <v>100</v>
      </c>
      <c r="T35" s="705" t="s">
        <v>14</v>
      </c>
      <c r="U35" s="706">
        <f t="shared" si="11"/>
        <v>100</v>
      </c>
      <c r="V35" s="705" t="s">
        <v>14</v>
      </c>
      <c r="W35" s="706">
        <f t="shared" si="12"/>
        <v>100</v>
      </c>
      <c r="X35" s="1355"/>
      <c r="Y35" s="373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7"/>
      <c r="Q36" s="1352" t="str">
        <f t="shared" si="14"/>
        <v>宗地开发程度</v>
      </c>
      <c r="R36" s="701" t="s">
        <v>14</v>
      </c>
      <c r="S36" s="702">
        <f t="shared" si="10"/>
        <v>100</v>
      </c>
      <c r="T36" s="701" t="s">
        <v>14</v>
      </c>
      <c r="U36" s="702">
        <f t="shared" si="11"/>
        <v>100</v>
      </c>
      <c r="V36" s="701" t="s">
        <v>14</v>
      </c>
      <c r="W36" s="702">
        <f t="shared" si="12"/>
        <v>100</v>
      </c>
      <c r="X36" s="703"/>
      <c r="Y36" s="373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7" t="s">
        <v>1696</v>
      </c>
      <c r="Q37" s="1352" t="str">
        <f t="shared" si="14"/>
        <v>工程地质条件</v>
      </c>
      <c r="R37" s="705" t="s">
        <v>14</v>
      </c>
      <c r="S37" s="706">
        <f t="shared" si="10"/>
        <v>100</v>
      </c>
      <c r="T37" s="705" t="s">
        <v>14</v>
      </c>
      <c r="U37" s="706">
        <f t="shared" si="11"/>
        <v>100</v>
      </c>
      <c r="V37" s="705" t="s">
        <v>14</v>
      </c>
      <c r="W37" s="706">
        <f t="shared" si="12"/>
        <v>100</v>
      </c>
      <c r="X37" s="1355"/>
      <c r="Y37" s="373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7"/>
      <c r="Q38" s="1352">
        <f t="shared" si="14"/>
        <v>111</v>
      </c>
      <c r="R38" s="705" t="s">
        <v>14</v>
      </c>
      <c r="S38" s="706">
        <f t="shared" si="10"/>
        <v>100</v>
      </c>
      <c r="T38" s="705" t="s">
        <v>14</v>
      </c>
      <c r="U38" s="706">
        <f t="shared" si="11"/>
        <v>100</v>
      </c>
      <c r="V38" s="705" t="s">
        <v>14</v>
      </c>
      <c r="W38" s="706">
        <f t="shared" si="12"/>
        <v>100</v>
      </c>
      <c r="X38" s="1355"/>
      <c r="Y38" s="373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7"/>
      <c r="Q39" s="1352">
        <f t="shared" si="14"/>
        <v>111</v>
      </c>
      <c r="R39" s="705" t="s">
        <v>14</v>
      </c>
      <c r="S39" s="706">
        <f t="shared" si="10"/>
        <v>100</v>
      </c>
      <c r="T39" s="705" t="s">
        <v>14</v>
      </c>
      <c r="U39" s="706">
        <f t="shared" si="11"/>
        <v>100</v>
      </c>
      <c r="V39" s="705" t="s">
        <v>14</v>
      </c>
      <c r="W39" s="706">
        <f t="shared" si="12"/>
        <v>100</v>
      </c>
      <c r="X39" s="1355"/>
      <c r="Y39" s="373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7"/>
      <c r="Q40" s="1352">
        <f t="shared" si="14"/>
        <v>111</v>
      </c>
      <c r="R40" s="708" t="s">
        <v>14</v>
      </c>
      <c r="S40" s="709">
        <f t="shared" si="10"/>
        <v>100</v>
      </c>
      <c r="T40" s="708" t="s">
        <v>14</v>
      </c>
      <c r="U40" s="709">
        <f t="shared" si="11"/>
        <v>100</v>
      </c>
      <c r="V40" s="708" t="s">
        <v>14</v>
      </c>
      <c r="W40" s="709">
        <f t="shared" si="12"/>
        <v>100</v>
      </c>
      <c r="X40" s="710"/>
      <c r="Y40" s="373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0" t="str">
        <f>A41</f>
        <v>成交单价</v>
      </c>
      <c r="Q41" s="3730"/>
      <c r="R41" s="3725">
        <f>E41</f>
        <v>0</v>
      </c>
      <c r="S41" s="3725"/>
      <c r="T41" s="3725">
        <f>G41</f>
        <v>0</v>
      </c>
      <c r="U41" s="3725"/>
      <c r="V41" s="3725">
        <f>I41</f>
        <v>0</v>
      </c>
      <c r="W41" s="372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0" t="str">
        <f>A42</f>
        <v>比较价值（元/平方米）</v>
      </c>
      <c r="Q42" s="3730"/>
      <c r="R42" s="3758" t="e">
        <f>ROUND(PRODUCT(R41,AA7:AA40),0)</f>
        <v>#DIV/0!</v>
      </c>
      <c r="S42" s="3758"/>
      <c r="T42" s="3758" t="e">
        <f>ROUND(PRODUCT(T41,AB7:AB40),0)</f>
        <v>#DIV/0!</v>
      </c>
      <c r="U42" s="3758"/>
      <c r="V42" s="3758" t="e">
        <f>ROUND(PRODUCT(V41,AC7:AC40),0)</f>
        <v>#DIV/0!</v>
      </c>
      <c r="W42" s="375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7" t="str">
        <f>A43</f>
        <v>估价对象XX用房的比较价值（楼面单价，元/平方米）</v>
      </c>
      <c r="Q43" s="3728"/>
      <c r="R43" s="3759" t="e">
        <f>ROUND(IF(D42="简单平均",AVERAGE(R42:W42),R42*F42+T42*H42+V42*J42),0)</f>
        <v>#DIV/0!</v>
      </c>
      <c r="S43" s="3759"/>
      <c r="T43" s="3759"/>
      <c r="U43" s="3759"/>
      <c r="V43" s="3759"/>
      <c r="W43" s="375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12"/>
      <c r="H51" s="373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8" t="s">
        <v>2084</v>
      </c>
      <c r="D1" s="3769"/>
      <c r="E1" s="3769"/>
      <c r="F1" s="3769"/>
      <c r="G1" s="3769"/>
      <c r="H1" s="3769"/>
      <c r="I1" s="3769"/>
      <c r="J1" s="3769"/>
      <c r="K1" s="3769"/>
      <c r="L1" s="3769"/>
      <c r="M1" s="3769"/>
      <c r="N1" s="3769"/>
      <c r="O1" s="3769"/>
      <c r="P1" s="3769"/>
      <c r="Q1" s="3769"/>
      <c r="R1" s="3769"/>
      <c r="S1" s="377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5" t="s">
        <v>27</v>
      </c>
      <c r="D22" s="3766"/>
      <c r="E22" s="3766"/>
      <c r="F22" s="3766"/>
      <c r="G22" s="3766"/>
      <c r="H22" s="3766"/>
      <c r="I22" s="3766"/>
      <c r="J22" s="3766"/>
      <c r="K22" s="3766"/>
      <c r="L22" s="3766"/>
      <c r="M22" s="3766"/>
      <c r="N22" s="3766"/>
      <c r="O22" s="3766"/>
      <c r="P22" s="3766"/>
      <c r="Q22" s="376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8"/>
      <c r="B4" s="3779"/>
      <c r="C4" s="3779"/>
      <c r="D4" s="3780"/>
      <c r="E4" s="3780"/>
      <c r="F4" s="3780"/>
      <c r="G4" s="3780"/>
      <c r="H4" s="3780"/>
      <c r="I4" s="3780"/>
      <c r="J4" s="378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5" t="s">
        <v>1960</v>
      </c>
      <c r="X8" s="377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7"/>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2" t="s">
        <v>3254</v>
      </c>
      <c r="B20" s="167" t="s">
        <v>1994</v>
      </c>
      <c r="C20" s="3325" t="e">
        <f>ROUND(IF(F21="与级别开发程度一致",0,(G21-E21)/C21),0)</f>
        <v>#DIV/0!</v>
      </c>
      <c r="D20" s="3341" t="s">
        <v>1998</v>
      </c>
      <c r="E20" s="3342"/>
      <c r="F20" s="3788" t="s">
        <v>1995</v>
      </c>
      <c r="G20" s="378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46006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6"/>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7"/>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7"/>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4" t="s">
        <v>3292</v>
      </c>
      <c r="B103" s="3784"/>
      <c r="C103" s="3784"/>
      <c r="D103" s="3784"/>
      <c r="E103" s="3784"/>
      <c r="F103" s="3784"/>
      <c r="G103" s="3784"/>
      <c r="H103" s="3784"/>
      <c r="I103" s="3784"/>
      <c r="J103" s="3784"/>
      <c r="K103" s="3390"/>
      <c r="L103" s="3390"/>
      <c r="M103" s="3390"/>
      <c r="N103" s="3390"/>
    </row>
    <row r="104" spans="1:14">
      <c r="A104" s="3785" t="s">
        <v>3293</v>
      </c>
      <c r="B104" s="3785" t="s">
        <v>3294</v>
      </c>
      <c r="C104" s="3391" t="s">
        <v>3295</v>
      </c>
      <c r="D104" s="3392"/>
      <c r="E104" s="3392"/>
      <c r="F104" s="3392"/>
      <c r="G104" s="3392"/>
      <c r="H104" s="3392"/>
      <c r="I104" s="3392"/>
      <c r="J104" s="3393"/>
      <c r="K104" s="3394"/>
      <c r="L104" s="3394"/>
      <c r="M104" s="3394"/>
      <c r="N104" s="3394"/>
    </row>
    <row r="105" spans="1:14">
      <c r="A105" s="3785"/>
      <c r="B105" s="3785"/>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71"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2"/>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3"/>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4" t="s">
        <v>3309</v>
      </c>
      <c r="B113" s="3774"/>
      <c r="C113" s="3774"/>
      <c r="D113" s="3774"/>
      <c r="E113" s="3774"/>
      <c r="F113" s="3774"/>
      <c r="G113" s="3774"/>
      <c r="H113" s="3774"/>
      <c r="I113" s="3774"/>
      <c r="J113" s="377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0" t="s">
        <v>2628</v>
      </c>
      <c r="C20" s="3477" t="s">
        <v>2439</v>
      </c>
      <c r="D20" s="3477"/>
      <c r="E20" s="3105">
        <v>1</v>
      </c>
      <c r="F20" s="3106" t="s">
        <v>2440</v>
      </c>
      <c r="G20" s="3106"/>
    </row>
    <row r="21" spans="1:13" ht="19.5" customHeight="1">
      <c r="A21" s="3801"/>
      <c r="B21" s="3791"/>
      <c r="C21" s="3467" t="s">
        <v>2441</v>
      </c>
      <c r="D21" s="3467"/>
      <c r="E21" s="3109">
        <v>1</v>
      </c>
      <c r="F21" s="3106" t="s">
        <v>2442</v>
      </c>
      <c r="G21" s="3106"/>
    </row>
    <row r="22" spans="1:13" ht="19.5" customHeight="1">
      <c r="A22" s="3801"/>
      <c r="B22" s="3791"/>
      <c r="C22" s="3467" t="s">
        <v>2443</v>
      </c>
      <c r="D22" s="3467"/>
      <c r="E22" s="3109">
        <v>0.9</v>
      </c>
      <c r="F22" s="3106" t="s">
        <v>2444</v>
      </c>
      <c r="G22" s="3106"/>
    </row>
    <row r="23" spans="1:13" ht="19.5" customHeight="1">
      <c r="A23" s="3801"/>
      <c r="B23" s="3791"/>
      <c r="C23" s="3467" t="s">
        <v>2445</v>
      </c>
      <c r="D23" s="3467"/>
      <c r="E23" s="3109">
        <v>0.9</v>
      </c>
      <c r="F23" s="3106" t="s">
        <v>2446</v>
      </c>
      <c r="G23" s="3106"/>
    </row>
    <row r="24" spans="1:13" ht="19.5" customHeight="1">
      <c r="A24" s="3801"/>
      <c r="B24" s="3791"/>
      <c r="C24" s="3467" t="s">
        <v>2447</v>
      </c>
      <c r="D24" s="3467"/>
      <c r="E24" s="3109">
        <v>0.8</v>
      </c>
      <c r="F24" s="3106" t="s">
        <v>2448</v>
      </c>
      <c r="G24" s="3106"/>
    </row>
    <row r="25" spans="1:13" ht="19.5" customHeight="1">
      <c r="A25" s="3801"/>
      <c r="B25" s="3791"/>
      <c r="C25" s="3467" t="s">
        <v>2449</v>
      </c>
      <c r="D25" s="3467"/>
      <c r="E25" s="3109">
        <v>0.8</v>
      </c>
      <c r="F25" s="3106"/>
      <c r="G25" s="3106"/>
    </row>
    <row r="26" spans="1:13" ht="19.5" customHeight="1">
      <c r="A26" s="3801"/>
      <c r="B26" s="3791"/>
      <c r="C26" s="3470" t="s">
        <v>3410</v>
      </c>
      <c r="D26" s="3470"/>
      <c r="E26" s="3471">
        <v>0.43</v>
      </c>
      <c r="F26" s="3106"/>
      <c r="G26" s="3106"/>
    </row>
    <row r="27" spans="1:13" ht="19.5" customHeight="1" thickBot="1">
      <c r="A27" s="3802"/>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7"/>
      <c r="C30" s="3107" t="s">
        <v>2454</v>
      </c>
      <c r="D30" s="3108"/>
      <c r="E30" s="3109">
        <v>1</v>
      </c>
      <c r="F30" s="3106" t="s">
        <v>2455</v>
      </c>
      <c r="G30" s="3106"/>
    </row>
    <row r="31" spans="1:13" ht="19.5" customHeight="1">
      <c r="A31" s="3794"/>
      <c r="B31" s="3797"/>
      <c r="C31" s="3107" t="s">
        <v>2456</v>
      </c>
      <c r="D31" s="3108"/>
      <c r="E31" s="3109">
        <v>0.8</v>
      </c>
      <c r="F31" s="3106" t="s">
        <v>2457</v>
      </c>
      <c r="G31" s="3106"/>
    </row>
    <row r="32" spans="1:13" ht="19.5" customHeight="1">
      <c r="A32" s="3794"/>
      <c r="B32" s="3797"/>
      <c r="C32" s="3107" t="s">
        <v>2458</v>
      </c>
      <c r="D32" s="3108"/>
      <c r="E32" s="3109">
        <v>0.8</v>
      </c>
      <c r="F32" s="3106" t="s">
        <v>2459</v>
      </c>
      <c r="G32" s="3106"/>
    </row>
    <row r="33" spans="1:7" ht="19.5" customHeight="1">
      <c r="A33" s="3794"/>
      <c r="B33" s="3797"/>
      <c r="C33" s="3107" t="s">
        <v>2460</v>
      </c>
      <c r="D33" s="3108"/>
      <c r="E33" s="3109">
        <v>0.8</v>
      </c>
      <c r="F33" s="3106" t="s">
        <v>2461</v>
      </c>
      <c r="G33" s="3106"/>
    </row>
    <row r="34" spans="1:7" ht="19.5" customHeight="1">
      <c r="A34" s="3794"/>
      <c r="B34" s="3797"/>
      <c r="C34" s="3107" t="s">
        <v>2462</v>
      </c>
      <c r="D34" s="3108"/>
      <c r="E34" s="3109">
        <v>0.7</v>
      </c>
      <c r="F34" s="3106" t="s">
        <v>2463</v>
      </c>
      <c r="G34" s="3106"/>
    </row>
    <row r="35" spans="1:7" ht="19.5" customHeight="1">
      <c r="A35" s="3794"/>
      <c r="B35" s="3797"/>
      <c r="C35" s="3107" t="s">
        <v>2464</v>
      </c>
      <c r="D35" s="3108"/>
      <c r="E35" s="3109">
        <v>0.8</v>
      </c>
      <c r="F35" s="3106" t="s">
        <v>2465</v>
      </c>
      <c r="G35" s="3106"/>
    </row>
    <row r="36" spans="1:7" ht="19.5" customHeight="1">
      <c r="A36" s="3794"/>
      <c r="B36" s="3797"/>
      <c r="C36" s="3107" t="s">
        <v>2466</v>
      </c>
      <c r="D36" s="3108"/>
      <c r="E36" s="3109">
        <v>0.6</v>
      </c>
      <c r="F36" s="3106" t="s">
        <v>2467</v>
      </c>
      <c r="G36" s="3106"/>
    </row>
    <row r="37" spans="1:7" ht="19.5" customHeight="1">
      <c r="A37" s="3794"/>
      <c r="B37" s="3797"/>
      <c r="C37" s="3107" t="s">
        <v>2468</v>
      </c>
      <c r="D37" s="3108"/>
      <c r="E37" s="3109">
        <v>0.2</v>
      </c>
      <c r="F37" s="3106" t="s">
        <v>2469</v>
      </c>
      <c r="G37" s="3106"/>
    </row>
    <row r="38" spans="1:7" ht="19.5" customHeight="1">
      <c r="A38" s="3794"/>
      <c r="B38" s="3797"/>
      <c r="C38" s="3107" t="s">
        <v>2470</v>
      </c>
      <c r="D38" s="3108"/>
      <c r="E38" s="3109">
        <v>0.2</v>
      </c>
      <c r="F38" s="3106" t="s">
        <v>2471</v>
      </c>
      <c r="G38" s="3106"/>
    </row>
    <row r="39" spans="1:7" ht="19.5" customHeight="1">
      <c r="A39" s="3794"/>
      <c r="B39" s="3798" t="s">
        <v>2632</v>
      </c>
      <c r="C39" s="3107" t="s">
        <v>2472</v>
      </c>
      <c r="D39" s="3108"/>
      <c r="E39" s="3109">
        <v>0.6</v>
      </c>
      <c r="F39" s="3106" t="s">
        <v>2473</v>
      </c>
      <c r="G39" s="3106"/>
    </row>
    <row r="40" spans="1:7" ht="19.5" customHeight="1">
      <c r="A40" s="3794"/>
      <c r="B40" s="3797"/>
      <c r="C40" s="3107" t="s">
        <v>2474</v>
      </c>
      <c r="D40" s="3108"/>
      <c r="E40" s="3109">
        <v>0.6</v>
      </c>
      <c r="F40" s="3106" t="s">
        <v>2475</v>
      </c>
      <c r="G40" s="3106"/>
    </row>
    <row r="41" spans="1:7" ht="19.5" customHeight="1" thickBot="1">
      <c r="A41" s="3795"/>
      <c r="B41" s="3799"/>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0" t="s">
        <v>2610</v>
      </c>
      <c r="B43" s="3796" t="s">
        <v>2634</v>
      </c>
      <c r="C43" s="3103" t="s">
        <v>2479</v>
      </c>
      <c r="D43" s="3104"/>
      <c r="E43" s="3105">
        <v>1</v>
      </c>
      <c r="F43" s="3106" t="s">
        <v>2480</v>
      </c>
      <c r="G43" s="3106"/>
    </row>
    <row r="44" spans="1:7" ht="19.5" customHeight="1">
      <c r="A44" s="3801"/>
      <c r="B44" s="3797"/>
      <c r="C44" s="3107" t="s">
        <v>2481</v>
      </c>
      <c r="D44" s="3108"/>
      <c r="E44" s="3109">
        <v>1</v>
      </c>
      <c r="F44" s="3106" t="s">
        <v>2482</v>
      </c>
      <c r="G44" s="3106"/>
    </row>
    <row r="45" spans="1:7" ht="19.5" customHeight="1">
      <c r="A45" s="3801"/>
      <c r="B45" s="3803"/>
      <c r="C45" s="3107" t="s">
        <v>2483</v>
      </c>
      <c r="D45" s="3108"/>
      <c r="E45" s="3109">
        <v>1.5</v>
      </c>
      <c r="F45" s="3106" t="s">
        <v>2484</v>
      </c>
      <c r="G45" s="3106"/>
    </row>
    <row r="46" spans="1:7" ht="19.5" customHeight="1">
      <c r="A46" s="3801"/>
      <c r="B46" s="3118" t="s">
        <v>2635</v>
      </c>
      <c r="C46" s="3107" t="s">
        <v>2636</v>
      </c>
      <c r="D46" s="3108"/>
      <c r="E46" s="3109">
        <v>2</v>
      </c>
      <c r="F46" s="3106" t="s">
        <v>2485</v>
      </c>
      <c r="G46" s="3106"/>
    </row>
    <row r="47" spans="1:7" ht="19.5" customHeight="1">
      <c r="A47" s="3801"/>
      <c r="B47" s="3798" t="s">
        <v>2637</v>
      </c>
      <c r="C47" s="3107" t="s">
        <v>2486</v>
      </c>
      <c r="D47" s="3108"/>
      <c r="E47" s="3109">
        <v>1</v>
      </c>
      <c r="F47" s="3106" t="s">
        <v>2487</v>
      </c>
      <c r="G47" s="3106"/>
    </row>
    <row r="48" spans="1:7" ht="19.5" customHeight="1">
      <c r="A48" s="3801"/>
      <c r="B48" s="3797"/>
      <c r="C48" s="3107" t="s">
        <v>2488</v>
      </c>
      <c r="D48" s="3108"/>
      <c r="E48" s="3109">
        <v>1</v>
      </c>
      <c r="F48" s="3106" t="s">
        <v>2489</v>
      </c>
      <c r="G48" s="3106"/>
    </row>
    <row r="49" spans="1:7" ht="19.5" customHeight="1">
      <c r="A49" s="3801"/>
      <c r="B49" s="3797"/>
      <c r="C49" s="3107" t="s">
        <v>2490</v>
      </c>
      <c r="D49" s="3108"/>
      <c r="E49" s="3109">
        <v>1</v>
      </c>
      <c r="F49" s="3106" t="s">
        <v>2491</v>
      </c>
      <c r="G49" s="3106"/>
    </row>
    <row r="50" spans="1:7" ht="19.5" customHeight="1">
      <c r="A50" s="3801"/>
      <c r="B50" s="3797"/>
      <c r="C50" s="3107" t="s">
        <v>2492</v>
      </c>
      <c r="D50" s="3108"/>
      <c r="E50" s="3109">
        <v>1</v>
      </c>
      <c r="F50" s="3106" t="s">
        <v>2493</v>
      </c>
      <c r="G50" s="3106"/>
    </row>
    <row r="51" spans="1:7" ht="19.5" customHeight="1">
      <c r="A51" s="3801"/>
      <c r="B51" s="3797"/>
      <c r="C51" s="3107" t="s">
        <v>2494</v>
      </c>
      <c r="D51" s="3108"/>
      <c r="E51" s="3109">
        <v>1</v>
      </c>
      <c r="F51" s="3106" t="s">
        <v>2495</v>
      </c>
      <c r="G51" s="3106"/>
    </row>
    <row r="52" spans="1:7" ht="19.5" customHeight="1">
      <c r="A52" s="3801"/>
      <c r="B52" s="3797"/>
      <c r="C52" s="3107" t="s">
        <v>2496</v>
      </c>
      <c r="D52" s="3108"/>
      <c r="E52" s="3109">
        <v>1</v>
      </c>
      <c r="F52" s="3106" t="s">
        <v>2497</v>
      </c>
      <c r="G52" s="3106"/>
    </row>
    <row r="53" spans="1:7" ht="19.5" customHeight="1" thickBot="1">
      <c r="A53" s="3802"/>
      <c r="B53" s="3799"/>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8" t="s">
        <v>2651</v>
      </c>
      <c r="C75" s="3092" t="s">
        <v>2652</v>
      </c>
      <c r="D75" s="3092" t="s">
        <v>2653</v>
      </c>
      <c r="E75" s="3118">
        <v>0.2</v>
      </c>
      <c r="F75" s="3118">
        <v>25</v>
      </c>
    </row>
    <row r="76" spans="1:7" ht="24">
      <c r="A76" s="3118">
        <v>2</v>
      </c>
      <c r="B76" s="3797"/>
      <c r="C76" s="3092" t="s">
        <v>2654</v>
      </c>
      <c r="D76" s="3092" t="s">
        <v>2655</v>
      </c>
      <c r="E76" s="3118">
        <v>0.2</v>
      </c>
      <c r="F76" s="3118">
        <v>25</v>
      </c>
    </row>
    <row r="77" spans="1:7" ht="24">
      <c r="A77" s="3118">
        <v>3</v>
      </c>
      <c r="B77" s="3797"/>
      <c r="C77" s="3092" t="s">
        <v>2656</v>
      </c>
      <c r="D77" s="3092" t="s">
        <v>2657</v>
      </c>
      <c r="E77" s="3118">
        <v>0.2</v>
      </c>
      <c r="F77" s="3118">
        <v>25</v>
      </c>
    </row>
    <row r="78" spans="1:7" ht="13.5">
      <c r="A78" s="3118">
        <v>4</v>
      </c>
      <c r="B78" s="3797"/>
      <c r="C78" s="3092" t="s">
        <v>2658</v>
      </c>
      <c r="D78" s="3092" t="s">
        <v>2659</v>
      </c>
      <c r="E78" s="3118">
        <v>0.15</v>
      </c>
      <c r="F78" s="3118">
        <v>20</v>
      </c>
    </row>
    <row r="79" spans="1:7" ht="24">
      <c r="A79" s="3118">
        <v>5</v>
      </c>
      <c r="B79" s="3797"/>
      <c r="C79" s="3092" t="s">
        <v>2660</v>
      </c>
      <c r="D79" s="3092" t="s">
        <v>2661</v>
      </c>
      <c r="E79" s="3118">
        <v>0.15</v>
      </c>
      <c r="F79" s="3118">
        <v>20</v>
      </c>
    </row>
    <row r="80" spans="1:7" ht="24">
      <c r="A80" s="3118">
        <v>6</v>
      </c>
      <c r="B80" s="3797"/>
      <c r="C80" s="3092" t="s">
        <v>2662</v>
      </c>
      <c r="D80" s="3092" t="s">
        <v>2663</v>
      </c>
      <c r="E80" s="3118">
        <v>0.15</v>
      </c>
      <c r="F80" s="3118">
        <v>20</v>
      </c>
    </row>
    <row r="81" spans="1:6" ht="24">
      <c r="A81" s="3118">
        <v>7</v>
      </c>
      <c r="B81" s="3797"/>
      <c r="C81" s="3092" t="s">
        <v>2664</v>
      </c>
      <c r="D81" s="3092" t="s">
        <v>2665</v>
      </c>
      <c r="E81" s="3118">
        <v>0.15</v>
      </c>
      <c r="F81" s="3118">
        <v>20</v>
      </c>
    </row>
    <row r="82" spans="1:6" ht="24">
      <c r="A82" s="3118">
        <v>8</v>
      </c>
      <c r="B82" s="3797"/>
      <c r="C82" s="3092" t="s">
        <v>2666</v>
      </c>
      <c r="D82" s="3092" t="s">
        <v>2667</v>
      </c>
      <c r="E82" s="3118">
        <v>0.1</v>
      </c>
      <c r="F82" s="3118">
        <v>15</v>
      </c>
    </row>
    <row r="83" spans="1:6" ht="24">
      <c r="A83" s="3118">
        <v>9</v>
      </c>
      <c r="B83" s="3797"/>
      <c r="C83" s="3092" t="s">
        <v>2668</v>
      </c>
      <c r="D83" s="3092" t="s">
        <v>2669</v>
      </c>
      <c r="E83" s="3118">
        <v>0.1</v>
      </c>
      <c r="F83" s="3118">
        <v>15</v>
      </c>
    </row>
    <row r="84" spans="1:6" ht="24">
      <c r="A84" s="3118">
        <v>10</v>
      </c>
      <c r="B84" s="3797"/>
      <c r="C84" s="3092" t="s">
        <v>2670</v>
      </c>
      <c r="D84" s="3092" t="s">
        <v>2671</v>
      </c>
      <c r="E84" s="3118">
        <v>0.1</v>
      </c>
      <c r="F84" s="3118">
        <v>15</v>
      </c>
    </row>
    <row r="85" spans="1:6" ht="24">
      <c r="A85" s="3118">
        <v>11</v>
      </c>
      <c r="B85" s="3797"/>
      <c r="C85" s="3092" t="s">
        <v>2672</v>
      </c>
      <c r="D85" s="3092" t="s">
        <v>2673</v>
      </c>
      <c r="E85" s="3118">
        <v>0.1</v>
      </c>
      <c r="F85" s="3118">
        <v>15</v>
      </c>
    </row>
    <row r="86" spans="1:6" ht="24">
      <c r="A86" s="3118">
        <v>12</v>
      </c>
      <c r="B86" s="3797"/>
      <c r="C86" s="3092" t="s">
        <v>2674</v>
      </c>
      <c r="D86" s="3092" t="s">
        <v>2675</v>
      </c>
      <c r="E86" s="3118">
        <v>0.1</v>
      </c>
      <c r="F86" s="3118">
        <v>15</v>
      </c>
    </row>
    <row r="87" spans="1:6" ht="13.5">
      <c r="A87" s="3118">
        <v>13</v>
      </c>
      <c r="B87" s="3797"/>
      <c r="C87" s="3092" t="s">
        <v>2676</v>
      </c>
      <c r="D87" s="3092" t="s">
        <v>2677</v>
      </c>
      <c r="E87" s="3118">
        <v>0.1</v>
      </c>
      <c r="F87" s="3118">
        <v>15</v>
      </c>
    </row>
    <row r="88" spans="1:6" ht="13.5">
      <c r="A88" s="3118">
        <v>14</v>
      </c>
      <c r="B88" s="3797"/>
      <c r="C88" s="3092" t="s">
        <v>2678</v>
      </c>
      <c r="D88" s="3092" t="s">
        <v>2679</v>
      </c>
      <c r="E88" s="3118">
        <v>0.1</v>
      </c>
      <c r="F88" s="3118">
        <v>15</v>
      </c>
    </row>
    <row r="89" spans="1:6" ht="13.5">
      <c r="A89" s="3118">
        <v>15</v>
      </c>
      <c r="B89" s="3797"/>
      <c r="C89" s="3092" t="s">
        <v>2680</v>
      </c>
      <c r="D89" s="3092" t="s">
        <v>2681</v>
      </c>
      <c r="E89" s="3118">
        <v>0.1</v>
      </c>
      <c r="F89" s="3118">
        <v>15</v>
      </c>
    </row>
    <row r="90" spans="1:6" ht="24">
      <c r="A90" s="3118">
        <v>16</v>
      </c>
      <c r="B90" s="3797"/>
      <c r="C90" s="3092" t="s">
        <v>2682</v>
      </c>
      <c r="D90" s="3092" t="s">
        <v>2683</v>
      </c>
      <c r="E90" s="3118">
        <v>0.1</v>
      </c>
      <c r="F90" s="3118">
        <v>15</v>
      </c>
    </row>
    <row r="91" spans="1:6" ht="24">
      <c r="A91" s="3118">
        <v>17</v>
      </c>
      <c r="B91" s="3803"/>
      <c r="C91" s="3092" t="s">
        <v>2684</v>
      </c>
      <c r="D91" s="3092" t="s">
        <v>2685</v>
      </c>
      <c r="E91" s="3118">
        <v>0.1</v>
      </c>
      <c r="F91" s="3118">
        <v>15</v>
      </c>
    </row>
    <row r="92" spans="1:6" ht="13.5">
      <c r="A92" s="3118">
        <v>18</v>
      </c>
      <c r="B92" s="3798" t="s">
        <v>2686</v>
      </c>
      <c r="C92" s="3092" t="s">
        <v>2687</v>
      </c>
      <c r="D92" s="3092" t="s">
        <v>2688</v>
      </c>
      <c r="E92" s="3118">
        <v>0.2</v>
      </c>
      <c r="F92" s="3118">
        <v>25</v>
      </c>
    </row>
    <row r="93" spans="1:6" ht="24">
      <c r="A93" s="3118">
        <v>19</v>
      </c>
      <c r="B93" s="3797"/>
      <c r="C93" s="3092" t="s">
        <v>2689</v>
      </c>
      <c r="D93" s="3092" t="s">
        <v>2690</v>
      </c>
      <c r="E93" s="3118">
        <v>0.2</v>
      </c>
      <c r="F93" s="3118">
        <v>25</v>
      </c>
    </row>
    <row r="94" spans="1:6" ht="13.5">
      <c r="A94" s="3118">
        <v>20</v>
      </c>
      <c r="B94" s="3797"/>
      <c r="C94" s="3092" t="s">
        <v>2691</v>
      </c>
      <c r="D94" s="3092" t="s">
        <v>2692</v>
      </c>
      <c r="E94" s="3118">
        <v>0.15</v>
      </c>
      <c r="F94" s="3118">
        <v>20</v>
      </c>
    </row>
    <row r="95" spans="1:6" ht="13.5">
      <c r="A95" s="3118">
        <v>21</v>
      </c>
      <c r="B95" s="3797"/>
      <c r="C95" s="3092" t="s">
        <v>2693</v>
      </c>
      <c r="D95" s="3092" t="s">
        <v>2694</v>
      </c>
      <c r="E95" s="3118">
        <v>0.15</v>
      </c>
      <c r="F95" s="3118">
        <v>20</v>
      </c>
    </row>
    <row r="96" spans="1:6" ht="13.5">
      <c r="A96" s="3118">
        <v>22</v>
      </c>
      <c r="B96" s="3797"/>
      <c r="C96" s="3092" t="s">
        <v>2695</v>
      </c>
      <c r="D96" s="3092" t="s">
        <v>2696</v>
      </c>
      <c r="E96" s="3118">
        <v>0.15</v>
      </c>
      <c r="F96" s="3118">
        <v>20</v>
      </c>
    </row>
    <row r="97" spans="1:6" ht="36">
      <c r="A97" s="3118">
        <v>23</v>
      </c>
      <c r="B97" s="3797"/>
      <c r="C97" s="3092" t="s">
        <v>2697</v>
      </c>
      <c r="D97" s="3092" t="s">
        <v>2698</v>
      </c>
      <c r="E97" s="3118">
        <v>0.15</v>
      </c>
      <c r="F97" s="3118">
        <v>20</v>
      </c>
    </row>
    <row r="98" spans="1:6" ht="13.5">
      <c r="A98" s="3118">
        <v>24</v>
      </c>
      <c r="B98" s="3797"/>
      <c r="C98" s="3092" t="s">
        <v>2699</v>
      </c>
      <c r="D98" s="3092" t="s">
        <v>2700</v>
      </c>
      <c r="E98" s="3118">
        <v>0.1</v>
      </c>
      <c r="F98" s="3118">
        <v>15</v>
      </c>
    </row>
    <row r="99" spans="1:6" ht="13.5">
      <c r="A99" s="3118">
        <v>25</v>
      </c>
      <c r="B99" s="3797"/>
      <c r="C99" s="3092" t="s">
        <v>2701</v>
      </c>
      <c r="D99" s="3092" t="s">
        <v>2702</v>
      </c>
      <c r="E99" s="3118">
        <v>0.1</v>
      </c>
      <c r="F99" s="3118">
        <v>15</v>
      </c>
    </row>
    <row r="100" spans="1:6" ht="24">
      <c r="A100" s="3118">
        <v>26</v>
      </c>
      <c r="B100" s="3797"/>
      <c r="C100" s="3092" t="s">
        <v>2703</v>
      </c>
      <c r="D100" s="3092" t="s">
        <v>2704</v>
      </c>
      <c r="E100" s="3118">
        <v>0.1</v>
      </c>
      <c r="F100" s="3118">
        <v>15</v>
      </c>
    </row>
    <row r="101" spans="1:6" ht="24">
      <c r="A101" s="3118">
        <v>27</v>
      </c>
      <c r="B101" s="3797"/>
      <c r="C101" s="3092" t="s">
        <v>2705</v>
      </c>
      <c r="D101" s="3092" t="s">
        <v>2706</v>
      </c>
      <c r="E101" s="3118">
        <v>0.1</v>
      </c>
      <c r="F101" s="3118">
        <v>15</v>
      </c>
    </row>
    <row r="102" spans="1:6" ht="13.5">
      <c r="A102" s="3118">
        <v>28</v>
      </c>
      <c r="B102" s="3797"/>
      <c r="C102" s="3092" t="s">
        <v>2707</v>
      </c>
      <c r="D102" s="3092" t="s">
        <v>2708</v>
      </c>
      <c r="E102" s="3118">
        <v>0.1</v>
      </c>
      <c r="F102" s="3118">
        <v>15</v>
      </c>
    </row>
    <row r="103" spans="1:6" ht="13.5">
      <c r="A103" s="3118">
        <v>29</v>
      </c>
      <c r="B103" s="3797"/>
      <c r="C103" s="3092" t="s">
        <v>2709</v>
      </c>
      <c r="D103" s="3092" t="s">
        <v>2710</v>
      </c>
      <c r="E103" s="3118">
        <v>0.1</v>
      </c>
      <c r="F103" s="3118">
        <v>15</v>
      </c>
    </row>
    <row r="104" spans="1:6" ht="13.5">
      <c r="A104" s="3118">
        <v>30</v>
      </c>
      <c r="B104" s="3797"/>
      <c r="C104" s="3092" t="s">
        <v>2711</v>
      </c>
      <c r="D104" s="3092" t="s">
        <v>2712</v>
      </c>
      <c r="E104" s="3118">
        <v>0.1</v>
      </c>
      <c r="F104" s="3118">
        <v>15</v>
      </c>
    </row>
    <row r="105" spans="1:6" ht="24">
      <c r="A105" s="3118">
        <v>31</v>
      </c>
      <c r="B105" s="3797"/>
      <c r="C105" s="3092" t="s">
        <v>2713</v>
      </c>
      <c r="D105" s="3092" t="s">
        <v>2714</v>
      </c>
      <c r="E105" s="3118">
        <v>0.1</v>
      </c>
      <c r="F105" s="3118">
        <v>15</v>
      </c>
    </row>
    <row r="106" spans="1:6" ht="24">
      <c r="A106" s="3118">
        <v>32</v>
      </c>
      <c r="B106" s="3797"/>
      <c r="C106" s="3092" t="s">
        <v>2715</v>
      </c>
      <c r="D106" s="3092" t="s">
        <v>2716</v>
      </c>
      <c r="E106" s="3118">
        <v>0.1</v>
      </c>
      <c r="F106" s="3118">
        <v>15</v>
      </c>
    </row>
    <row r="107" spans="1:6" ht="24">
      <c r="A107" s="3118">
        <v>33</v>
      </c>
      <c r="B107" s="3797"/>
      <c r="C107" s="3092" t="s">
        <v>2717</v>
      </c>
      <c r="D107" s="3092" t="s">
        <v>2718</v>
      </c>
      <c r="E107" s="3118">
        <v>0.1</v>
      </c>
      <c r="F107" s="3118">
        <v>15</v>
      </c>
    </row>
    <row r="108" spans="1:6" ht="24">
      <c r="A108" s="3118">
        <v>34</v>
      </c>
      <c r="B108" s="3803"/>
      <c r="C108" s="3092" t="s">
        <v>2719</v>
      </c>
      <c r="D108" s="3092" t="s">
        <v>2720</v>
      </c>
      <c r="E108" s="3118">
        <v>0.1</v>
      </c>
      <c r="F108" s="3118">
        <v>15</v>
      </c>
    </row>
    <row r="109" spans="1:6" ht="24">
      <c r="A109" s="3118">
        <v>35</v>
      </c>
      <c r="B109" s="3798" t="s">
        <v>2721</v>
      </c>
      <c r="C109" s="3118" t="s">
        <v>2722</v>
      </c>
      <c r="D109" s="3092" t="s">
        <v>2723</v>
      </c>
      <c r="E109" s="3118">
        <v>0.15</v>
      </c>
      <c r="F109" s="3118">
        <v>20</v>
      </c>
    </row>
    <row r="110" spans="1:6" ht="13.5">
      <c r="A110" s="3118">
        <v>36</v>
      </c>
      <c r="B110" s="3797"/>
      <c r="C110" s="3118" t="s">
        <v>2724</v>
      </c>
      <c r="D110" s="3092" t="s">
        <v>2725</v>
      </c>
      <c r="E110" s="3118">
        <v>0.15</v>
      </c>
      <c r="F110" s="3118">
        <v>20</v>
      </c>
    </row>
    <row r="111" spans="1:6" ht="13.5">
      <c r="A111" s="3118">
        <v>37</v>
      </c>
      <c r="B111" s="3797"/>
      <c r="C111" s="3118" t="s">
        <v>2726</v>
      </c>
      <c r="D111" s="3092" t="s">
        <v>2727</v>
      </c>
      <c r="E111" s="3118">
        <v>0.15</v>
      </c>
      <c r="F111" s="3118">
        <v>20</v>
      </c>
    </row>
    <row r="112" spans="1:6" ht="13.5">
      <c r="A112" s="3118">
        <v>38</v>
      </c>
      <c r="B112" s="3797"/>
      <c r="C112" s="3118" t="s">
        <v>2728</v>
      </c>
      <c r="D112" s="3092" t="s">
        <v>2729</v>
      </c>
      <c r="E112" s="3118">
        <v>0.1</v>
      </c>
      <c r="F112" s="3118">
        <v>15</v>
      </c>
    </row>
    <row r="113" spans="1:6" ht="24">
      <c r="A113" s="3118">
        <v>39</v>
      </c>
      <c r="B113" s="3797"/>
      <c r="C113" s="3118" t="s">
        <v>2730</v>
      </c>
      <c r="D113" s="3092" t="s">
        <v>2731</v>
      </c>
      <c r="E113" s="3118">
        <v>0.1</v>
      </c>
      <c r="F113" s="3118">
        <v>15</v>
      </c>
    </row>
    <row r="114" spans="1:6" ht="24">
      <c r="A114" s="3118">
        <v>40</v>
      </c>
      <c r="B114" s="3803"/>
      <c r="C114" s="3118" t="s">
        <v>2732</v>
      </c>
      <c r="D114" s="3092" t="s">
        <v>2733</v>
      </c>
      <c r="E114" s="3118">
        <v>0.1</v>
      </c>
      <c r="F114" s="3118">
        <v>15</v>
      </c>
    </row>
    <row r="115" spans="1:6" ht="13.5">
      <c r="A115" s="3118">
        <v>41</v>
      </c>
      <c r="B115" s="3791" t="s">
        <v>2734</v>
      </c>
      <c r="C115" s="3118" t="s">
        <v>2735</v>
      </c>
      <c r="D115" s="3092" t="s">
        <v>2736</v>
      </c>
      <c r="E115" s="3118">
        <v>0.1</v>
      </c>
      <c r="F115" s="3118">
        <v>15</v>
      </c>
    </row>
    <row r="116" spans="1:6" ht="13.5">
      <c r="A116" s="3118">
        <v>42</v>
      </c>
      <c r="B116" s="3791"/>
      <c r="C116" s="3118" t="s">
        <v>2737</v>
      </c>
      <c r="D116" s="3092" t="s">
        <v>2738</v>
      </c>
      <c r="E116" s="3118">
        <v>0.1</v>
      </c>
      <c r="F116" s="3118">
        <v>15</v>
      </c>
    </row>
    <row r="117" spans="1:6" ht="24">
      <c r="A117" s="3118">
        <v>43</v>
      </c>
      <c r="B117" s="3791"/>
      <c r="C117" s="3118" t="s">
        <v>2739</v>
      </c>
      <c r="D117" s="3092" t="s">
        <v>2740</v>
      </c>
      <c r="E117" s="3118">
        <v>0.1</v>
      </c>
      <c r="F117" s="3118">
        <v>15</v>
      </c>
    </row>
    <row r="118" spans="1:6" ht="13.5">
      <c r="A118" s="3118">
        <v>44</v>
      </c>
      <c r="B118" s="3798" t="s">
        <v>2741</v>
      </c>
      <c r="C118" s="3118" t="s">
        <v>2742</v>
      </c>
      <c r="D118" s="3092" t="s">
        <v>2743</v>
      </c>
      <c r="E118" s="3118">
        <v>0.1</v>
      </c>
      <c r="F118" s="3118">
        <v>15</v>
      </c>
    </row>
    <row r="119" spans="1:6" ht="24">
      <c r="A119" s="3118">
        <v>45</v>
      </c>
      <c r="B119" s="3803"/>
      <c r="C119" s="3092" t="s">
        <v>2744</v>
      </c>
      <c r="D119" s="3092" t="s">
        <v>2745</v>
      </c>
      <c r="E119" s="3118">
        <v>0.1</v>
      </c>
      <c r="F119" s="3118">
        <v>15</v>
      </c>
    </row>
    <row r="120" spans="1:6" ht="24">
      <c r="A120" s="3118">
        <v>46</v>
      </c>
      <c r="B120" s="3798" t="s">
        <v>2746</v>
      </c>
      <c r="C120" s="3118" t="s">
        <v>2747</v>
      </c>
      <c r="D120" s="3092" t="s">
        <v>2748</v>
      </c>
      <c r="E120" s="3118">
        <v>0.1</v>
      </c>
      <c r="F120" s="3118">
        <v>15</v>
      </c>
    </row>
    <row r="121" spans="1:6" ht="24">
      <c r="A121" s="3118">
        <v>47</v>
      </c>
      <c r="B121" s="3803"/>
      <c r="C121" s="3118" t="s">
        <v>2749</v>
      </c>
      <c r="D121" s="3092" t="s">
        <v>2750</v>
      </c>
      <c r="E121" s="3118">
        <v>0.1</v>
      </c>
      <c r="F121" s="3118">
        <v>15</v>
      </c>
    </row>
    <row r="122" spans="1:6" ht="13.5">
      <c r="A122" s="3118">
        <v>48</v>
      </c>
      <c r="B122" s="3798" t="s">
        <v>2751</v>
      </c>
      <c r="C122" s="3118" t="s">
        <v>2752</v>
      </c>
      <c r="D122" s="3092" t="s">
        <v>2753</v>
      </c>
      <c r="E122" s="3118">
        <v>0.1</v>
      </c>
      <c r="F122" s="3118">
        <v>15</v>
      </c>
    </row>
    <row r="123" spans="1:6" ht="13.5">
      <c r="A123" s="3118">
        <v>49</v>
      </c>
      <c r="B123" s="3803"/>
      <c r="C123" s="3118" t="s">
        <v>2754</v>
      </c>
      <c r="D123" s="3092" t="s">
        <v>2755</v>
      </c>
      <c r="E123" s="3118">
        <v>0.1</v>
      </c>
      <c r="F123" s="3118">
        <v>15</v>
      </c>
    </row>
    <row r="124" spans="1:6" ht="24">
      <c r="A124" s="3118">
        <v>50</v>
      </c>
      <c r="B124" s="3791" t="s">
        <v>2756</v>
      </c>
      <c r="C124" s="3118" t="s">
        <v>2757</v>
      </c>
      <c r="D124" s="3092" t="s">
        <v>2758</v>
      </c>
      <c r="E124" s="3118">
        <v>0.1</v>
      </c>
      <c r="F124" s="3118">
        <v>15</v>
      </c>
    </row>
    <row r="125" spans="1:6" ht="24">
      <c r="A125" s="3118">
        <v>51</v>
      </c>
      <c r="B125" s="3791"/>
      <c r="C125" s="3118" t="s">
        <v>2759</v>
      </c>
      <c r="D125" s="3092" t="s">
        <v>2760</v>
      </c>
      <c r="E125" s="3118">
        <v>0.1</v>
      </c>
      <c r="F125" s="3118">
        <v>15</v>
      </c>
    </row>
    <row r="126" spans="1:6" ht="24">
      <c r="A126" s="3118">
        <v>52</v>
      </c>
      <c r="B126" s="3791" t="s">
        <v>2761</v>
      </c>
      <c r="C126" s="3118" t="s">
        <v>2762</v>
      </c>
      <c r="D126" s="3092" t="s">
        <v>2763</v>
      </c>
      <c r="E126" s="3118">
        <v>0.1</v>
      </c>
      <c r="F126" s="3118">
        <v>15</v>
      </c>
    </row>
    <row r="127" spans="1:6" ht="24">
      <c r="A127" s="3118">
        <v>53</v>
      </c>
      <c r="B127" s="3791"/>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1" t="s">
        <v>2769</v>
      </c>
      <c r="C129" s="3118" t="s">
        <v>2770</v>
      </c>
      <c r="D129" s="3092" t="s">
        <v>2771</v>
      </c>
      <c r="E129" s="3118">
        <v>0.1</v>
      </c>
      <c r="F129" s="3118">
        <v>15</v>
      </c>
    </row>
    <row r="130" spans="1:6" ht="13.5">
      <c r="A130" s="3118">
        <v>56</v>
      </c>
      <c r="B130" s="3791"/>
      <c r="C130" s="3118" t="s">
        <v>2772</v>
      </c>
      <c r="D130" s="3092" t="s">
        <v>2773</v>
      </c>
      <c r="E130" s="3118">
        <v>0.1</v>
      </c>
      <c r="F130" s="3118">
        <v>15</v>
      </c>
    </row>
    <row r="131" spans="1:6" ht="24">
      <c r="A131" s="3118">
        <v>57</v>
      </c>
      <c r="B131" s="3791"/>
      <c r="C131" s="3118" t="s">
        <v>2774</v>
      </c>
      <c r="D131" s="3092" t="s">
        <v>2775</v>
      </c>
      <c r="E131" s="3118">
        <v>0.1</v>
      </c>
      <c r="F131" s="3118">
        <v>15</v>
      </c>
    </row>
    <row r="132" spans="1:6" ht="24">
      <c r="A132" s="3118">
        <v>58</v>
      </c>
      <c r="B132" s="3791" t="s">
        <v>2776</v>
      </c>
      <c r="C132" s="3118" t="s">
        <v>2777</v>
      </c>
      <c r="D132" s="3092" t="s">
        <v>2778</v>
      </c>
      <c r="E132" s="3118">
        <v>0.1</v>
      </c>
      <c r="F132" s="3118">
        <v>15</v>
      </c>
    </row>
    <row r="133" spans="1:6" ht="13.5">
      <c r="A133" s="3118">
        <v>59</v>
      </c>
      <c r="B133" s="3791"/>
      <c r="C133" s="3118" t="s">
        <v>2779</v>
      </c>
      <c r="D133" s="3092" t="s">
        <v>2780</v>
      </c>
      <c r="E133" s="3118">
        <v>0.1</v>
      </c>
      <c r="F133" s="3118">
        <v>15</v>
      </c>
    </row>
    <row r="134" spans="1:6" ht="13.5">
      <c r="A134" s="3118">
        <v>60</v>
      </c>
      <c r="B134" s="3798" t="s">
        <v>2781</v>
      </c>
      <c r="C134" s="3118" t="s">
        <v>2782</v>
      </c>
      <c r="D134" s="3092" t="s">
        <v>2783</v>
      </c>
      <c r="E134" s="3118">
        <v>0.1</v>
      </c>
      <c r="F134" s="3118">
        <v>15</v>
      </c>
    </row>
    <row r="135" spans="1:6" ht="13.5">
      <c r="A135" s="3118">
        <v>61</v>
      </c>
      <c r="B135" s="3803"/>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1" t="s">
        <v>2789</v>
      </c>
      <c r="C137" s="3118" t="s">
        <v>2790</v>
      </c>
      <c r="D137" s="3092" t="s">
        <v>2791</v>
      </c>
      <c r="E137" s="3118">
        <v>0.1</v>
      </c>
      <c r="F137" s="3118">
        <v>15</v>
      </c>
    </row>
    <row r="138" spans="1:6" ht="13.5">
      <c r="A138" s="3118">
        <v>64</v>
      </c>
      <c r="B138" s="3791"/>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6" t="s">
        <v>94</v>
      </c>
    </row>
    <row r="43" spans="1:7" ht="13.5" customHeight="1">
      <c r="A43" s="780" t="s">
        <v>347</v>
      </c>
      <c r="B43" s="215" t="s">
        <v>426</v>
      </c>
      <c r="C43" s="238" t="e">
        <f ca="1">ROUND(IF('数据-取费表'!B22&lt;=1,C39*F22*'数据-取费表'!B21/2,C39*(POWER((1+F22),'数据-取费表'!B21/2)-1)),0)</f>
        <v>#VALUE!</v>
      </c>
      <c r="D43" s="238"/>
      <c r="E43" s="238"/>
      <c r="F43" s="239"/>
      <c r="G43" s="3667"/>
    </row>
    <row r="44" spans="1:7" ht="13.5" customHeight="1">
      <c r="A44" s="780" t="s">
        <v>348</v>
      </c>
      <c r="B44" s="215" t="s">
        <v>428</v>
      </c>
      <c r="C44" s="238" t="e">
        <f ca="1">ROUND(IF('数据-取费表'!B22&lt;=1,C40*F22*'数据-取费表'!B21/2,C40*(POWER((1+F22),'数据-取费表'!B21/2)-1)),4)</f>
        <v>#VALUE!</v>
      </c>
      <c r="D44" s="238"/>
      <c r="E44" s="238"/>
      <c r="F44" s="239"/>
      <c r="G44" s="366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t="e">
        <f ca="1">结果表!H101</f>
        <v>#REF!</v>
      </c>
      <c r="E5" s="1491"/>
    </row>
    <row r="6" spans="1:5" ht="15.75">
      <c r="A6" s="1491"/>
      <c r="B6" s="3485"/>
      <c r="C6" s="1494" t="s">
        <v>911</v>
      </c>
      <c r="D6" s="850" t="e">
        <f ca="1">NUMBERSTRING(INT(D5*10000),2)&amp;"元整"</f>
        <v>#REF!</v>
      </c>
      <c r="E6" s="1491"/>
    </row>
    <row r="7" spans="1:5" ht="15.75">
      <c r="A7" s="1491"/>
      <c r="B7" s="3490"/>
      <c r="C7" s="1495" t="s">
        <v>912</v>
      </c>
      <c r="D7" s="851" t="e">
        <f ca="1">结果表!H102</f>
        <v>#REF!</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t="e">
        <f ca="1">结果表!H107</f>
        <v>#REF!</v>
      </c>
      <c r="E13" s="1491"/>
    </row>
    <row r="14" spans="1:5" ht="15.75">
      <c r="A14" s="1491"/>
      <c r="B14" s="3485"/>
      <c r="C14" s="1494" t="s">
        <v>911</v>
      </c>
      <c r="D14" s="850" t="e">
        <f ca="1">NUMBERSTRING(INT(D13*10000),2)&amp;"元整"</f>
        <v>#REF!</v>
      </c>
      <c r="E14" s="1491"/>
    </row>
    <row r="15" spans="1:5" ht="15">
      <c r="A15" s="1491"/>
      <c r="B15" s="3490"/>
      <c r="C15" s="1495" t="s">
        <v>921</v>
      </c>
      <c r="D15" s="859" t="e">
        <f ca="1">结果表!H108</f>
        <v>#REF!</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3181</v>
      </c>
      <c r="B1" s="3804"/>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5" t="s">
        <v>3232</v>
      </c>
      <c r="B1" s="3805"/>
      <c r="C1" s="3805"/>
      <c r="D1" s="3805"/>
      <c r="E1" s="3805"/>
      <c r="F1" s="3806"/>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46006</v>
      </c>
      <c r="B1" s="3210" t="s">
        <v>3376</v>
      </c>
      <c r="C1" s="3211"/>
      <c r="D1" s="3211"/>
      <c r="E1" s="3211"/>
      <c r="F1" s="3211"/>
      <c r="G1" s="3211"/>
      <c r="H1" s="3211"/>
      <c r="I1" s="3211"/>
      <c r="J1" s="3165"/>
      <c r="K1" s="3211" t="s">
        <v>454</v>
      </c>
      <c r="L1" s="3211"/>
      <c r="M1" s="3211"/>
      <c r="N1" s="3211"/>
      <c r="O1" s="3211"/>
      <c r="P1" s="3211"/>
      <c r="Q1" s="3165"/>
      <c r="R1" s="3807" t="s">
        <v>456</v>
      </c>
      <c r="S1" s="3808"/>
      <c r="T1" s="3808"/>
      <c r="U1" s="3808"/>
      <c r="V1" s="3808"/>
      <c r="W1" s="3808"/>
      <c r="X1" s="3165"/>
      <c r="Y1" s="3807" t="s">
        <v>457</v>
      </c>
      <c r="Z1" s="3808"/>
      <c r="AA1" s="3808"/>
      <c r="AB1" s="3808"/>
      <c r="AC1" s="3808"/>
      <c r="AD1" s="3808"/>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7" t="s">
        <v>2827</v>
      </c>
      <c r="S29" s="3808"/>
      <c r="T29" s="3808"/>
      <c r="U29" s="3808"/>
      <c r="V29" s="3808"/>
      <c r="W29" s="3808"/>
      <c r="X29" s="3165"/>
      <c r="Y29" s="3807" t="s">
        <v>2828</v>
      </c>
      <c r="Z29" s="3808"/>
      <c r="AA29" s="3808"/>
      <c r="AB29" s="3808"/>
      <c r="AC29" s="3808"/>
      <c r="AD29" s="3808"/>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2" t="s">
        <v>2839</v>
      </c>
      <c r="B1" s="3822"/>
      <c r="C1" s="3822"/>
      <c r="D1" s="3822"/>
      <c r="E1" s="3822"/>
      <c r="F1" s="3822"/>
      <c r="G1" s="3823"/>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0"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1"/>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6" t="s">
        <v>927</v>
      </c>
      <c r="B5" s="3496"/>
      <c r="C5" s="3496"/>
      <c r="D5" s="3496" t="e">
        <f ca="1">结果表!D119</f>
        <v>#REF!</v>
      </c>
      <c r="E5" s="3496"/>
      <c r="F5" s="3496" t="e">
        <f ca="1">结果表!F119</f>
        <v>#REF!</v>
      </c>
      <c r="G5" s="3496"/>
      <c r="H5" s="3496" t="e">
        <f ca="1">结果表!H119</f>
        <v>#REF!</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t="e">
        <f ca="1">结果表!D122</f>
        <v>#REF!</v>
      </c>
      <c r="E8" s="3497"/>
      <c r="F8" s="3497"/>
      <c r="G8" s="3497"/>
      <c r="H8" s="3497"/>
      <c r="I8" s="3497"/>
    </row>
    <row r="9" spans="1:9" ht="15">
      <c r="A9" s="3496" t="s">
        <v>927</v>
      </c>
      <c r="B9" s="3496"/>
      <c r="C9" s="3496"/>
      <c r="D9" s="3496" t="e">
        <f ca="1">结果表!D123</f>
        <v>#REF!</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3" t="s">
        <v>949</v>
      </c>
      <c r="B1" s="3503"/>
      <c r="C1" s="3503"/>
      <c r="D1" s="3503"/>
    </row>
    <row r="2" spans="1:4" ht="18">
      <c r="A2" s="3504" t="s">
        <v>933</v>
      </c>
      <c r="B2" s="3504"/>
      <c r="C2" s="3504"/>
      <c r="D2" s="350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4" t="s">
        <v>939</v>
      </c>
      <c r="B6" s="3504"/>
      <c r="C6" s="3504"/>
      <c r="D6" s="350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7"/>
      <c r="C12" s="3507"/>
      <c r="D12" s="3507"/>
    </row>
    <row r="13" spans="1:4" ht="30" customHeight="1">
      <c r="A13" s="3506" t="str">
        <f>IF(项目基本情况!B8="抵押","3.抵押双方在办理抵押登记手续时，应使用本公司出具的正式《房地产评估报告》，特提醒报告使用者注意。","——")</f>
        <v>——</v>
      </c>
      <c r="B13" s="3507"/>
      <c r="C13" s="3507"/>
      <c r="D13" s="3507"/>
    </row>
    <row r="14" spans="1:4" ht="15.75" customHeight="1">
      <c r="A14" s="3506" t="str">
        <f>IF(项目基本情况!B8="抵押","4.本次评估估价师所知悉的法定优先受偿款情况说明如下：","——")</f>
        <v>——</v>
      </c>
      <c r="B14" s="3507"/>
      <c r="C14" s="3507"/>
      <c r="D14" s="3507"/>
    </row>
    <row r="15" spans="1:4" ht="42" customHeight="1">
      <c r="A15" s="3506" t="str">
        <f>IF(项目基本情况!B8="抵押","（1）"&amp;CONCATENATE(项目基本情况!L20,项目基本情况!L21,项目基本情况!L22),"——")</f>
        <v>——</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0"/>
      <c r="C21" s="3510"/>
      <c r="D21" s="3510"/>
    </row>
    <row r="22" spans="1:4" ht="18.75" customHeight="1">
      <c r="A22" s="3511" t="s">
        <v>945</v>
      </c>
      <c r="B22" s="3511"/>
      <c r="C22" s="3511"/>
      <c r="D22" s="351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46010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2025-12-19T05:30:52Z</dcterms:modified>
</cp:coreProperties>
</file>