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515"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Sheet1" sheetId="77" r:id="rId16"/>
    <sheet name="估价对象房地状况" sheetId="20" r:id="rId17"/>
    <sheet name="系统读取表" sheetId="74" r:id="rId18"/>
    <sheet name="结果表" sheetId="9" r:id="rId19"/>
    <sheet name="结果表-办公" sheetId="82" r:id="rId20"/>
    <sheet name="结果表-车库" sheetId="83" state="hidden" r:id="rId21"/>
    <sheet name="成本法" sheetId="68" state="hidden" r:id="rId22"/>
    <sheet name="成本法 (元)" sheetId="69" state="hidden" r:id="rId23"/>
    <sheet name="假设开发法" sheetId="12" state="hidden" r:id="rId24"/>
    <sheet name="土地比较法-住宅、综合" sheetId="39" state="hidden" r:id="rId25"/>
    <sheet name="收益法（汇总）" sheetId="70" state="hidden" r:id="rId26"/>
    <sheet name="比较法-商业" sheetId="33" r:id="rId27"/>
    <sheet name="典型户型修正" sheetId="31" r:id="rId28"/>
    <sheet name="收益法" sheetId="15" r:id="rId29"/>
    <sheet name="收益法 (元)" sheetId="67" state="hidden" r:id="rId30"/>
    <sheet name="酒店收入计算" sheetId="66" state="hidden" r:id="rId31"/>
    <sheet name="比较法-住宅" sheetId="21" state="hidden" r:id="rId32"/>
    <sheet name="比较法-办公" sheetId="34" r:id="rId33"/>
    <sheet name="比较法-工业" sheetId="37"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办公" sheetId="80" r:id="rId47"/>
    <sheet name="比较法-车位" sheetId="35" state="hidden" r:id="rId48"/>
    <sheet name="收益法-车库" sheetId="79" state="hidden" r:id="rId49"/>
    <sheet name="Sheet2" sheetId="78" r:id="rId50"/>
    <sheet name="Sheet5" sheetId="81" r:id="rId51"/>
  </sheets>
  <definedNames>
    <definedName name="_xlnm._FilterDatabase" localSheetId="32" hidden="1">'比较法-办公'!$A$1:$L$50</definedName>
    <definedName name="_xlnm._FilterDatabase" localSheetId="34" hidden="1">'比较法-仓储'!$A$1:$L$37</definedName>
    <definedName name="_xlnm._FilterDatabase" localSheetId="47" hidden="1">'比较法-车位'!$A$1:$L$39</definedName>
    <definedName name="_xlnm._FilterDatabase" localSheetId="33" hidden="1">'比较法-工业'!$A$1:$L$43</definedName>
    <definedName name="_xlnm._FilterDatabase" localSheetId="26" hidden="1">'比较法-商业'!$A$1:$L$49</definedName>
    <definedName name="_xlnm._FilterDatabase" localSheetId="3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46">'收益法-办公'!$A$1:$AK$69</definedName>
    <definedName name="_xlnm.Print_Area" localSheetId="48">'收益法-车库'!$A$1:$AK$69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7" i="31" l="1"/>
  <c r="B5" i="31"/>
  <c r="M6" i="77" l="1"/>
  <c r="M7" i="77"/>
  <c r="M8" i="77"/>
  <c r="M9" i="77"/>
  <c r="M10" i="77"/>
  <c r="M11" i="77"/>
  <c r="M12" i="77"/>
  <c r="M13" i="77"/>
  <c r="M14" i="77"/>
  <c r="M5" i="77"/>
  <c r="C44" i="77" l="1"/>
  <c r="D44" i="77"/>
  <c r="J45" i="77"/>
  <c r="I45" i="77"/>
  <c r="I44" i="77"/>
  <c r="H45" i="77"/>
  <c r="G45" i="77"/>
  <c r="G44" i="77"/>
  <c r="F45" i="77"/>
  <c r="E45" i="77"/>
  <c r="E44" i="77"/>
  <c r="H36" i="77" l="1"/>
  <c r="D32" i="77" l="1"/>
  <c r="B26" i="31" s="1"/>
  <c r="D33" i="77"/>
  <c r="D34" i="77"/>
  <c r="D31" i="77"/>
  <c r="D35" i="77" l="1"/>
  <c r="C29" i="35"/>
  <c r="C36" i="33"/>
  <c r="B27" i="31"/>
  <c r="W22" i="1" l="1"/>
  <c r="W23" i="1"/>
  <c r="T23" i="1"/>
  <c r="T22" i="1"/>
  <c r="U23" i="1"/>
  <c r="U22" i="1"/>
  <c r="U21" i="1"/>
  <c r="U20" i="1"/>
  <c r="A120" i="83"/>
  <c r="H111" i="83"/>
  <c r="D126" i="83" s="1"/>
  <c r="D127" i="83" s="1"/>
  <c r="E111" i="83"/>
  <c r="A126"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F56" i="83"/>
  <c r="O55" i="83"/>
  <c r="N55" i="83"/>
  <c r="M55" i="83"/>
  <c r="K55" i="83"/>
  <c r="J55" i="83"/>
  <c r="I55" i="83"/>
  <c r="F55" i="83" s="1"/>
  <c r="O53" i="83" s="1"/>
  <c r="O54" i="83"/>
  <c r="N54" i="83"/>
  <c r="N53" i="83"/>
  <c r="K49" i="83"/>
  <c r="F48" i="83"/>
  <c r="O52" i="83" s="1"/>
  <c r="E48" i="83"/>
  <c r="N52" i="83" s="1"/>
  <c r="D48" i="83"/>
  <c r="M52" i="83" s="1"/>
  <c r="F33" i="83"/>
  <c r="D27" i="83"/>
  <c r="C25" i="83"/>
  <c r="C24" i="83"/>
  <c r="D17" i="83"/>
  <c r="C17" i="83"/>
  <c r="C18" i="83" s="1"/>
  <c r="D18" i="83" s="1"/>
  <c r="L4" i="83"/>
  <c r="K4" i="83"/>
  <c r="H1" i="83"/>
  <c r="A120" i="82"/>
  <c r="E111" i="82"/>
  <c r="A126" i="82" s="1"/>
  <c r="E109" i="82"/>
  <c r="A124" i="82" s="1"/>
  <c r="E107" i="82"/>
  <c r="A122" i="82" s="1"/>
  <c r="H106" i="82"/>
  <c r="H105" i="82"/>
  <c r="H104" i="82"/>
  <c r="D101" i="82"/>
  <c r="C101" i="82"/>
  <c r="C91" i="82"/>
  <c r="E90" i="82"/>
  <c r="D89" i="82"/>
  <c r="C89" i="82"/>
  <c r="C87" i="82" s="1"/>
  <c r="H77" i="82"/>
  <c r="D77" i="82"/>
  <c r="C76" i="82"/>
  <c r="F59" i="82"/>
  <c r="E59" i="82"/>
  <c r="D59" i="82"/>
  <c r="F56" i="82"/>
  <c r="O55" i="82"/>
  <c r="N55" i="82"/>
  <c r="M55" i="82"/>
  <c r="K55" i="82"/>
  <c r="J55" i="82"/>
  <c r="I55" i="82"/>
  <c r="F55" i="82"/>
  <c r="O53" i="82" s="1"/>
  <c r="O54" i="82"/>
  <c r="N54" i="82"/>
  <c r="N53" i="82"/>
  <c r="K49" i="82"/>
  <c r="F48" i="82"/>
  <c r="O52" i="82" s="1"/>
  <c r="E48" i="82"/>
  <c r="N52" i="82" s="1"/>
  <c r="D48" i="82"/>
  <c r="M52" i="82" s="1"/>
  <c r="F33" i="82"/>
  <c r="D27" i="82"/>
  <c r="C25" i="82"/>
  <c r="C24" i="82"/>
  <c r="D17" i="82"/>
  <c r="C17" i="82"/>
  <c r="L4" i="82"/>
  <c r="K4" i="82"/>
  <c r="H1" i="82"/>
  <c r="C37" i="34"/>
  <c r="Q72" i="80"/>
  <c r="Q59" i="80"/>
  <c r="K59" i="80"/>
  <c r="P74" i="80" s="1"/>
  <c r="Q58" i="80"/>
  <c r="Q51" i="80"/>
  <c r="J50" i="80"/>
  <c r="M47" i="80"/>
  <c r="D46" i="80"/>
  <c r="F33" i="80"/>
  <c r="F61" i="80" s="1"/>
  <c r="F23" i="80"/>
  <c r="D23" i="80" s="1"/>
  <c r="F21" i="80"/>
  <c r="F20" i="80"/>
  <c r="M19" i="80"/>
  <c r="F18" i="80"/>
  <c r="F17" i="80"/>
  <c r="F15" i="80"/>
  <c r="N8" i="1"/>
  <c r="D35" i="83"/>
  <c r="D34" i="83"/>
  <c r="C18" i="82" l="1"/>
  <c r="D18" i="82" s="1"/>
  <c r="H103" i="82"/>
  <c r="D120" i="82" s="1"/>
  <c r="H111" i="82"/>
  <c r="D126" i="82" s="1"/>
  <c r="D127" i="82" s="1"/>
  <c r="C92" i="83"/>
  <c r="C94" i="83"/>
  <c r="K120" i="83"/>
  <c r="D121" i="83"/>
  <c r="H109" i="83"/>
  <c r="H112" i="83"/>
  <c r="K120" i="82"/>
  <c r="D121" i="82"/>
  <c r="C92" i="82"/>
  <c r="C94" i="82"/>
  <c r="H109" i="82"/>
  <c r="H112" i="82"/>
  <c r="D24" i="80"/>
  <c r="P61" i="80"/>
  <c r="D22" i="80"/>
  <c r="N7" i="1"/>
  <c r="Y7" i="1"/>
  <c r="Y6" i="1"/>
  <c r="N24" i="1"/>
  <c r="M24" i="1"/>
  <c r="D39" i="77"/>
  <c r="M22" i="1" s="1"/>
  <c r="Q72" i="79"/>
  <c r="Q59" i="79"/>
  <c r="K59" i="79"/>
  <c r="P74" i="79" s="1"/>
  <c r="Q58" i="79"/>
  <c r="Q51" i="79"/>
  <c r="J50" i="79"/>
  <c r="M47" i="79"/>
  <c r="D46" i="79"/>
  <c r="F33" i="79"/>
  <c r="F61" i="79" s="1"/>
  <c r="F23" i="79"/>
  <c r="D23" i="79" s="1"/>
  <c r="F21" i="79"/>
  <c r="F20" i="79"/>
  <c r="M19" i="79"/>
  <c r="F18" i="79"/>
  <c r="F17" i="79"/>
  <c r="F15" i="79"/>
  <c r="W26" i="1"/>
  <c r="W24" i="1"/>
  <c r="I38" i="39"/>
  <c r="G38" i="39"/>
  <c r="E38" i="39"/>
  <c r="M13" i="3"/>
  <c r="G20" i="6" s="1"/>
  <c r="I7" i="39"/>
  <c r="G7" i="39"/>
  <c r="E7" i="39"/>
  <c r="D124" i="83" l="1"/>
  <c r="D125" i="83" s="1"/>
  <c r="H110" i="83"/>
  <c r="D124" i="82"/>
  <c r="D125" i="82" s="1"/>
  <c r="H110" i="82"/>
  <c r="D24" i="79"/>
  <c r="P61" i="79"/>
  <c r="D22" i="79"/>
  <c r="C35" i="77" l="1"/>
  <c r="C34" i="77"/>
  <c r="C33" i="77"/>
  <c r="B32" i="77"/>
  <c r="C28" i="77"/>
  <c r="B27" i="77"/>
  <c r="B24" i="31" l="1"/>
  <c r="C33" i="33" s="1"/>
  <c r="I13" i="3"/>
  <c r="F19" i="6" s="1"/>
  <c r="T25" i="1"/>
  <c r="U19" i="1"/>
  <c r="O13" i="3"/>
  <c r="F21" i="6" s="1"/>
  <c r="C39" i="77"/>
  <c r="N22" i="1" s="1"/>
  <c r="B25" i="31"/>
  <c r="T24" i="1"/>
  <c r="B28" i="31"/>
  <c r="K13" i="3"/>
  <c r="G19" i="6" s="1"/>
  <c r="E57" i="39" s="1"/>
  <c r="T26" i="1"/>
  <c r="I20" i="77"/>
  <c r="K15" i="77"/>
  <c r="I6" i="77"/>
  <c r="I15" i="77" s="1"/>
  <c r="K20" i="77" l="1"/>
  <c r="T28" i="1"/>
  <c r="N23" i="1"/>
  <c r="M23" i="1"/>
  <c r="V26" i="1"/>
  <c r="V25" i="1"/>
  <c r="AD5" i="71"/>
  <c r="AH5" i="71"/>
  <c r="AG5" i="71"/>
  <c r="AE5" i="71"/>
  <c r="AF5" i="71" s="1"/>
  <c r="Q5" i="71"/>
  <c r="P5" i="71"/>
  <c r="O5" i="71"/>
  <c r="N5" i="71"/>
  <c r="O24" i="1" l="1"/>
  <c r="V23" i="1"/>
  <c r="V19" i="1"/>
  <c r="V22" i="1"/>
  <c r="V21" i="1"/>
  <c r="V20" i="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O9" i="71"/>
  <c r="C9" i="71"/>
  <c r="Q10" i="71"/>
  <c r="F9" i="71"/>
  <c r="F8" i="71" s="1"/>
  <c r="F7" i="71" s="1"/>
  <c r="P10" i="71"/>
  <c r="E9" i="71"/>
  <c r="E8" i="71" s="1"/>
  <c r="E7" i="71" s="1"/>
  <c r="O10" i="71"/>
  <c r="N10" i="71"/>
  <c r="B9" i="71"/>
  <c r="V9" i="71"/>
  <c r="A2" i="53"/>
  <c r="B19" i="72" s="1"/>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B65" i="72" s="1"/>
  <c r="A12" i="62"/>
  <c r="B58" i="72" s="1"/>
  <c r="A120" i="9"/>
  <c r="H2" i="52"/>
  <c r="A1" i="52"/>
  <c r="A3" i="53"/>
  <c r="Q11" i="71"/>
  <c r="P11" i="71"/>
  <c r="O11" i="71"/>
  <c r="N11" i="71"/>
  <c r="A15" i="51"/>
  <c r="B12" i="72" s="1"/>
  <c r="C76" i="9"/>
  <c r="I107" i="40"/>
  <c r="K6" i="4"/>
  <c r="B22" i="31"/>
  <c r="N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E109" i="9"/>
  <c r="A124" i="9" s="1"/>
  <c r="B44" i="72"/>
  <c r="B42" i="72"/>
  <c r="B69" i="72"/>
  <c r="B68" i="72"/>
  <c r="B63" i="72"/>
  <c r="B62" i="72"/>
  <c r="B60" i="72"/>
  <c r="B67" i="72"/>
  <c r="B10" i="72"/>
  <c r="C53" i="10"/>
  <c r="B51" i="10"/>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N53" i="71" s="1"/>
  <c r="F52" i="71"/>
  <c r="F51" i="71" s="1"/>
  <c r="D50" i="71"/>
  <c r="Q49" i="71"/>
  <c r="P49" i="71"/>
  <c r="O49" i="71"/>
  <c r="N49" i="71"/>
  <c r="Q48" i="71"/>
  <c r="P48" i="71"/>
  <c r="O48" i="71"/>
  <c r="N48" i="71"/>
  <c r="Q47" i="71"/>
  <c r="P47" i="71"/>
  <c r="E48" i="71" s="1"/>
  <c r="E49" i="71" s="1"/>
  <c r="U49" i="71" s="1"/>
  <c r="O47" i="71"/>
  <c r="N47" i="71"/>
  <c r="Q46" i="71"/>
  <c r="F47" i="71"/>
  <c r="F48" i="71" s="1"/>
  <c r="F49" i="71" s="1"/>
  <c r="V49" i="71" s="1"/>
  <c r="P46" i="71"/>
  <c r="E47" i="71" s="1"/>
  <c r="O46" i="71"/>
  <c r="C47" i="71" s="1"/>
  <c r="C48" i="71" s="1"/>
  <c r="C49" i="71" s="1"/>
  <c r="D49"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c r="F41" i="71" s="1"/>
  <c r="V41" i="71" s="1"/>
  <c r="P38" i="71"/>
  <c r="E39" i="71"/>
  <c r="O38" i="71"/>
  <c r="C39" i="71" s="1"/>
  <c r="N38" i="71"/>
  <c r="B39" i="71" s="1"/>
  <c r="D38" i="71"/>
  <c r="Q37" i="71"/>
  <c r="P37" i="71"/>
  <c r="O37" i="71"/>
  <c r="N37" i="71"/>
  <c r="Q36" i="71"/>
  <c r="P36" i="71"/>
  <c r="O36" i="71"/>
  <c r="N36" i="71"/>
  <c r="Q35" i="71"/>
  <c r="P35" i="71"/>
  <c r="O35" i="71"/>
  <c r="N35" i="71"/>
  <c r="Q34" i="71"/>
  <c r="F35" i="71" s="1"/>
  <c r="F36"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C32" i="71" s="1"/>
  <c r="D32" i="71" s="1"/>
  <c r="N30" i="71"/>
  <c r="B31" i="71"/>
  <c r="B32" i="71" s="1"/>
  <c r="B33" i="71" s="1"/>
  <c r="S33" i="71" s="1"/>
  <c r="D30" i="71"/>
  <c r="Q29" i="71"/>
  <c r="P29" i="71"/>
  <c r="O29" i="71"/>
  <c r="N29" i="71"/>
  <c r="Q28" i="71"/>
  <c r="P28" i="71"/>
  <c r="O28" i="71"/>
  <c r="N28" i="71"/>
  <c r="Q27" i="71"/>
  <c r="P27" i="71"/>
  <c r="O27" i="71"/>
  <c r="C28" i="71" s="1"/>
  <c r="C29" i="71" s="1"/>
  <c r="N27" i="71"/>
  <c r="Q26" i="71"/>
  <c r="F27" i="71" s="1"/>
  <c r="P26" i="71"/>
  <c r="E27" i="71" s="1"/>
  <c r="E28" i="71" s="1"/>
  <c r="E29" i="71"/>
  <c r="U29" i="71" s="1"/>
  <c r="O26" i="71"/>
  <c r="C27" i="71" s="1"/>
  <c r="D27" i="71" s="1"/>
  <c r="N26" i="71"/>
  <c r="B27" i="71" s="1"/>
  <c r="B28" i="71" s="1"/>
  <c r="B29" i="71" s="1"/>
  <c r="S29" i="71" s="1"/>
  <c r="D26" i="71"/>
  <c r="Q25" i="71"/>
  <c r="P25" i="71"/>
  <c r="O25" i="71"/>
  <c r="N25" i="71"/>
  <c r="AB24" i="71"/>
  <c r="Q24" i="71"/>
  <c r="P24" i="71"/>
  <c r="O24" i="71"/>
  <c r="Y24" i="71" s="1"/>
  <c r="Z24" i="7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N21" i="71"/>
  <c r="Q20" i="71"/>
  <c r="AB20" i="71" s="1"/>
  <c r="P20" i="71"/>
  <c r="O20" i="71"/>
  <c r="N20" i="71"/>
  <c r="Q19" i="71"/>
  <c r="AB19" i="71" s="1"/>
  <c r="P19" i="71"/>
  <c r="O19" i="71"/>
  <c r="N19" i="71"/>
  <c r="Q18" i="71"/>
  <c r="F19" i="71" s="1"/>
  <c r="P18" i="71"/>
  <c r="O18" i="71"/>
  <c r="N18" i="71"/>
  <c r="D18" i="71"/>
  <c r="Q17" i="71"/>
  <c r="P17" i="71"/>
  <c r="O17" i="71"/>
  <c r="N17" i="71"/>
  <c r="Q16" i="71"/>
  <c r="P16" i="71"/>
  <c r="O16" i="71"/>
  <c r="N16" i="71"/>
  <c r="Q15" i="71"/>
  <c r="P15" i="71"/>
  <c r="O15" i="71"/>
  <c r="N15" i="71"/>
  <c r="Q14" i="71"/>
  <c r="P14" i="71"/>
  <c r="E15" i="71" s="1"/>
  <c r="E16" i="71" s="1"/>
  <c r="E17" i="71" s="1"/>
  <c r="U17" i="71" s="1"/>
  <c r="O14" i="71"/>
  <c r="N14" i="71"/>
  <c r="D14" i="71"/>
  <c r="O13" i="71"/>
  <c r="C13" i="71" s="1"/>
  <c r="C12" i="71" s="1"/>
  <c r="C11" i="71" s="1"/>
  <c r="D11" i="71" s="1"/>
  <c r="N13" i="71"/>
  <c r="B15" i="71"/>
  <c r="B16" i="71" s="1"/>
  <c r="B19" i="71"/>
  <c r="B20" i="71" s="1"/>
  <c r="B23" i="71"/>
  <c r="B24" i="71" s="1"/>
  <c r="B25" i="71" s="1"/>
  <c r="S25" i="71" s="1"/>
  <c r="X22" i="71"/>
  <c r="E23" i="71"/>
  <c r="E24" i="71"/>
  <c r="E19" i="71"/>
  <c r="E20" i="71" s="1"/>
  <c r="E21" i="71" s="1"/>
  <c r="U21" i="71"/>
  <c r="C15" i="71"/>
  <c r="X16" i="71"/>
  <c r="C19" i="71"/>
  <c r="AB18" i="71"/>
  <c r="X21" i="71"/>
  <c r="AB22" i="71"/>
  <c r="X23" i="71"/>
  <c r="AA23" i="71"/>
  <c r="F37" i="71"/>
  <c r="V37" i="71" s="1"/>
  <c r="Y10" i="71"/>
  <c r="Z10" i="71" s="1"/>
  <c r="B13" i="71"/>
  <c r="B12" i="71" s="1"/>
  <c r="B11" i="71" s="1"/>
  <c r="D15" i="71"/>
  <c r="D31" i="71"/>
  <c r="P13" i="71"/>
  <c r="U53" i="71"/>
  <c r="E52" i="71"/>
  <c r="E51" i="71" s="1"/>
  <c r="P50" i="71" s="1"/>
  <c r="Q13" i="71"/>
  <c r="C40" i="71"/>
  <c r="D40" i="71" s="1"/>
  <c r="D39" i="71"/>
  <c r="D43" i="71"/>
  <c r="D47" i="71"/>
  <c r="Q52" i="71"/>
  <c r="T53" i="71"/>
  <c r="O53" i="71"/>
  <c r="D53" i="71"/>
  <c r="C52" i="71"/>
  <c r="Q53" i="71"/>
  <c r="E56" i="71"/>
  <c r="E55" i="71" s="1"/>
  <c r="C60" i="71"/>
  <c r="C59" i="71" s="1"/>
  <c r="D59" i="71" s="1"/>
  <c r="E60" i="71"/>
  <c r="E59" i="71" s="1"/>
  <c r="D61" i="71"/>
  <c r="E64" i="71"/>
  <c r="E63" i="71" s="1"/>
  <c r="C68" i="71"/>
  <c r="D68" i="71" s="1"/>
  <c r="C72" i="71"/>
  <c r="C71" i="71" s="1"/>
  <c r="D71" i="71" s="1"/>
  <c r="T13" i="71"/>
  <c r="F13" i="71"/>
  <c r="F12" i="71" s="1"/>
  <c r="F11" i="71" s="1"/>
  <c r="AB13" i="71"/>
  <c r="AA11" i="71"/>
  <c r="C51" i="71"/>
  <c r="O52" i="71"/>
  <c r="D52" i="71"/>
  <c r="C67" i="71"/>
  <c r="D67" i="71" s="1"/>
  <c r="D72" i="71"/>
  <c r="C41" i="71"/>
  <c r="P52" i="71"/>
  <c r="D28" i="71"/>
  <c r="P51" i="71"/>
  <c r="D51" i="71"/>
  <c r="T41" i="71"/>
  <c r="D41" i="71"/>
  <c r="T4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s="1"/>
  <c r="F18" i="36"/>
  <c r="C18" i="36"/>
  <c r="Q18" i="35"/>
  <c r="Z18" i="35" s="1"/>
  <c r="D68" i="35"/>
  <c r="E68" i="35" s="1"/>
  <c r="F68" i="35" s="1"/>
  <c r="G68" i="35" s="1"/>
  <c r="F18" i="35"/>
  <c r="AA18" i="35" s="1"/>
  <c r="C18" i="35"/>
  <c r="Z21" i="37"/>
  <c r="Q21" i="37"/>
  <c r="D77" i="37"/>
  <c r="E77" i="37" s="1"/>
  <c r="F77" i="37" s="1"/>
  <c r="C21" i="37"/>
  <c r="Q21" i="34"/>
  <c r="Z21" i="34" s="1"/>
  <c r="D84" i="34"/>
  <c r="E84" i="34"/>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U18" i="36"/>
  <c r="H25" i="40"/>
  <c r="J25" i="40"/>
  <c r="W25" i="40" s="1"/>
  <c r="F103" i="39"/>
  <c r="H29" i="39"/>
  <c r="AB29" i="39" s="1"/>
  <c r="G103" i="39"/>
  <c r="J29" i="39"/>
  <c r="AC29" i="39" s="1"/>
  <c r="J18" i="36"/>
  <c r="W18" i="36" s="1"/>
  <c r="H18" i="35"/>
  <c r="U18" i="35" s="1"/>
  <c r="J18" i="35"/>
  <c r="W18" i="35" s="1"/>
  <c r="H21" i="37"/>
  <c r="U21" i="37" s="1"/>
  <c r="F21" i="37"/>
  <c r="F84" i="34"/>
  <c r="G84" i="34" s="1"/>
  <c r="H21" i="34"/>
  <c r="U21" i="34" s="1"/>
  <c r="F83" i="33"/>
  <c r="G83" i="33" s="1"/>
  <c r="H21" i="33"/>
  <c r="F21" i="33"/>
  <c r="S21" i="33" s="1"/>
  <c r="E83" i="21"/>
  <c r="S21" i="21"/>
  <c r="H1" i="69"/>
  <c r="AC25" i="40"/>
  <c r="AB25" i="40"/>
  <c r="U25" i="40"/>
  <c r="AC18" i="36"/>
  <c r="AB21" i="37"/>
  <c r="AA21" i="37"/>
  <c r="S21" i="37"/>
  <c r="AB21" i="34"/>
  <c r="U21" i="33"/>
  <c r="AB21" i="33"/>
  <c r="AB18" i="35"/>
  <c r="G77" i="37"/>
  <c r="J21" i="37"/>
  <c r="W21" i="37" s="1"/>
  <c r="J21" i="34"/>
  <c r="AC21" i="34" s="1"/>
  <c r="J21" i="33"/>
  <c r="W21" i="33" s="1"/>
  <c r="F83" i="21"/>
  <c r="G83" i="21" s="1"/>
  <c r="H21" i="21"/>
  <c r="AB21" i="21" s="1"/>
  <c r="F38" i="69"/>
  <c r="E37" i="69"/>
  <c r="F36" i="69"/>
  <c r="F35" i="69"/>
  <c r="F21" i="69"/>
  <c r="F20" i="69"/>
  <c r="E10" i="69"/>
  <c r="E9" i="69"/>
  <c r="F7" i="69"/>
  <c r="AC21" i="37"/>
  <c r="AC21" i="33"/>
  <c r="U21" i="21"/>
  <c r="J21" i="21"/>
  <c r="W21" i="21" s="1"/>
  <c r="F38" i="68"/>
  <c r="E37" i="68"/>
  <c r="F36" i="68"/>
  <c r="F35" i="68"/>
  <c r="F21" i="68"/>
  <c r="F20" i="68"/>
  <c r="E10" i="68"/>
  <c r="E9" i="68"/>
  <c r="F7" i="68"/>
  <c r="AC21" i="2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S30" i="31" s="1"/>
  <c r="R31" i="31"/>
  <c r="R32" i="31"/>
  <c r="S32" i="31" s="1"/>
  <c r="R33" i="31"/>
  <c r="S33" i="31" s="1"/>
  <c r="R34" i="31"/>
  <c r="S34" i="31" s="1"/>
  <c r="R35" i="31"/>
  <c r="S35" i="31" s="1"/>
  <c r="R36" i="3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S169" i="31" s="1"/>
  <c r="R170" i="31"/>
  <c r="R171" i="31"/>
  <c r="S171" i="31" s="1"/>
  <c r="R172" i="31"/>
  <c r="S172" i="31" s="1"/>
  <c r="R173" i="31"/>
  <c r="S173" i="31" s="1"/>
  <c r="R174" i="31"/>
  <c r="S174" i="31" s="1"/>
  <c r="R175" i="31"/>
  <c r="S175" i="31" s="1"/>
  <c r="R176" i="31"/>
  <c r="S176" i="31" s="1"/>
  <c r="R177" i="31"/>
  <c r="S177" i="31" s="1"/>
  <c r="R178" i="3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O6" i="1" s="1"/>
  <c r="P6" i="1" s="1"/>
  <c r="E20" i="6"/>
  <c r="M18" i="83" s="1"/>
  <c r="B118" i="83" s="1"/>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T4" i="1"/>
  <c r="F15" i="15"/>
  <c r="F17" i="15"/>
  <c r="F18" i="15"/>
  <c r="F20" i="15"/>
  <c r="F21" i="1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6" i="31"/>
  <c r="S374" i="31"/>
  <c r="S342" i="31"/>
  <c r="S312" i="31"/>
  <c r="S280" i="31"/>
  <c r="S248" i="31"/>
  <c r="S428" i="31"/>
  <c r="S218" i="31"/>
  <c r="S210" i="31"/>
  <c r="S202" i="31"/>
  <c r="S194" i="31"/>
  <c r="S186" i="31"/>
  <c r="S178" i="31"/>
  <c r="S170"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72" i="31"/>
  <c r="S112" i="31"/>
  <c r="S36" i="31"/>
  <c r="S97" i="31"/>
  <c r="S95" i="31"/>
  <c r="S93" i="31"/>
  <c r="S91" i="31"/>
  <c r="S89" i="31"/>
  <c r="S87" i="31"/>
  <c r="S85" i="31"/>
  <c r="S83" i="31"/>
  <c r="S81" i="31"/>
  <c r="S79" i="31"/>
  <c r="S31" i="31"/>
  <c r="S29" i="31"/>
  <c r="S99" i="31"/>
  <c r="S101" i="31"/>
  <c r="S103" i="31"/>
  <c r="S105" i="31"/>
  <c r="S107" i="31"/>
  <c r="S109"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AB31" i="35" s="1"/>
  <c r="F31" i="35"/>
  <c r="D87" i="35"/>
  <c r="E87" i="35" s="1"/>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AA40" i="33" s="1"/>
  <c r="J41" i="33"/>
  <c r="W41" i="33" s="1"/>
  <c r="D113" i="33"/>
  <c r="F37" i="33"/>
  <c r="D111" i="33"/>
  <c r="E111" i="33" s="1"/>
  <c r="F111" i="33" s="1"/>
  <c r="G111" i="33" s="1"/>
  <c r="S516"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s="1"/>
  <c r="D64" i="36"/>
  <c r="E64" i="36"/>
  <c r="F64" i="36" s="1"/>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s="1"/>
  <c r="W28" i="36"/>
  <c r="S30" i="36"/>
  <c r="AA31" i="36"/>
  <c r="AC31" i="36"/>
  <c r="W31" i="36"/>
  <c r="U31" i="36"/>
  <c r="J33" i="36"/>
  <c r="W33" i="36" s="1"/>
  <c r="H22" i="35"/>
  <c r="AB22" i="35" s="1"/>
  <c r="AC27" i="35"/>
  <c r="W28" i="35"/>
  <c r="W22" i="35"/>
  <c r="S31" i="35"/>
  <c r="F36" i="34"/>
  <c r="J35" i="34"/>
  <c r="S34" i="34"/>
  <c r="H39" i="33"/>
  <c r="AB39" i="33" s="1"/>
  <c r="F26" i="33"/>
  <c r="AA26" i="33" s="1"/>
  <c r="U33" i="33"/>
  <c r="U35" i="33"/>
  <c r="S40" i="33"/>
  <c r="W39" i="33"/>
  <c r="H39" i="37"/>
  <c r="AB39" i="37"/>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c r="E109" i="39"/>
  <c r="H31" i="39"/>
  <c r="AB31" i="39" s="1"/>
  <c r="F31" i="39"/>
  <c r="AA31" i="39" s="1"/>
  <c r="E101" i="39"/>
  <c r="F101" i="39" s="1"/>
  <c r="G101" i="39" s="1"/>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c r="U34" i="21"/>
  <c r="S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4"/>
  <c r="AA12" i="34"/>
  <c r="AB12" i="35"/>
  <c r="AB12" i="36"/>
  <c r="W32" i="40"/>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c r="J32" i="35"/>
  <c r="AC32" i="35"/>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28" i="34"/>
  <c r="AA28" i="34" s="1"/>
  <c r="F27" i="34"/>
  <c r="AA27" i="34" s="1"/>
  <c r="F25" i="34"/>
  <c r="S25" i="34" s="1"/>
  <c r="H23" i="34"/>
  <c r="U23" i="34" s="1"/>
  <c r="J23" i="34"/>
  <c r="F19" i="34"/>
  <c r="H17" i="34"/>
  <c r="U17" i="34" s="1"/>
  <c r="F15" i="34"/>
  <c r="S15" i="34" s="1"/>
  <c r="J15" i="34"/>
  <c r="AC15" i="34" s="1"/>
  <c r="H15" i="34"/>
  <c r="AB15" i="34" s="1"/>
  <c r="W8" i="34"/>
  <c r="J28" i="34"/>
  <c r="W28" i="34" s="1"/>
  <c r="F41" i="33"/>
  <c r="AA41" i="33" s="1"/>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30" i="21"/>
  <c r="AC13" i="36"/>
  <c r="S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s="1"/>
  <c r="W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H37" i="39"/>
  <c r="AB37" i="39" s="1"/>
  <c r="H25" i="39"/>
  <c r="AB25" i="39" s="1"/>
  <c r="J25" i="39"/>
  <c r="W25" i="39" s="1"/>
  <c r="F25" i="39"/>
  <c r="AA25" i="39" s="1"/>
  <c r="F15" i="39"/>
  <c r="AA15" i="39" s="1"/>
  <c r="H15" i="39"/>
  <c r="U15" i="39" s="1"/>
  <c r="J15" i="39"/>
  <c r="W15" i="39" s="1"/>
  <c r="H41" i="39"/>
  <c r="U41" i="39" s="1"/>
  <c r="AB34" i="39"/>
  <c r="U40" i="39"/>
  <c r="W14" i="39"/>
  <c r="W9" i="39"/>
  <c r="W8" i="39"/>
  <c r="J19" i="40"/>
  <c r="AC19" i="40" s="1"/>
  <c r="J50" i="40"/>
  <c r="H103" i="9"/>
  <c r="D8" i="53" s="1"/>
  <c r="B16" i="53"/>
  <c r="B33" i="72" s="1"/>
  <c r="C7" i="37"/>
  <c r="C7" i="34"/>
  <c r="C7" i="36"/>
  <c r="W35" i="40"/>
  <c r="A118" i="9"/>
  <c r="A4" i="52"/>
  <c r="B41" i="72"/>
  <c r="A12" i="52"/>
  <c r="B56" i="72" s="1"/>
  <c r="G4" i="4"/>
  <c r="I4" i="4"/>
  <c r="K5" i="4"/>
  <c r="B47" i="48" s="1"/>
  <c r="A2" i="9"/>
  <c r="N2" i="43"/>
  <c r="F59" i="43"/>
  <c r="AZ24" i="3"/>
  <c r="AZ28" i="3"/>
  <c r="AZ32" i="3"/>
  <c r="AZ497" i="3"/>
  <c r="BL549" i="3"/>
  <c r="AZ549" i="3" s="1"/>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G335" i="3"/>
  <c r="BL336" i="3"/>
  <c r="G337" i="3"/>
  <c r="BL338" i="3"/>
  <c r="BA340" i="3"/>
  <c r="BA341" i="3"/>
  <c r="AZ341" i="3" s="1"/>
  <c r="BL341" i="3"/>
  <c r="BA343" i="3"/>
  <c r="AZ343" i="3" s="1"/>
  <c r="BA345" i="3"/>
  <c r="BL355" i="3"/>
  <c r="G356" i="3"/>
  <c r="BL357" i="3"/>
  <c r="BA359" i="3"/>
  <c r="BA360" i="3"/>
  <c r="AZ360" i="3" s="1"/>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51" i="3"/>
  <c r="AZ67" i="3"/>
  <c r="AZ75" i="3"/>
  <c r="AZ152" i="3"/>
  <c r="AZ168" i="3"/>
  <c r="AZ184" i="3"/>
  <c r="AZ200" i="3"/>
  <c r="AZ89"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6" i="3"/>
  <c r="AZ162" i="3"/>
  <c r="AZ178" i="3"/>
  <c r="AZ194" i="3"/>
  <c r="AZ500" i="3"/>
  <c r="BA16" i="3"/>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G353" i="3"/>
  <c r="BA357" i="3"/>
  <c r="AZ357" i="3" s="1"/>
  <c r="BL358" i="3"/>
  <c r="AZ358" i="3" s="1"/>
  <c r="G359" i="3"/>
  <c r="BA361" i="3"/>
  <c r="BL362" i="3"/>
  <c r="AZ362" i="3" s="1"/>
  <c r="G363" i="3"/>
  <c r="BA365" i="3"/>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BL384" i="3"/>
  <c r="G385" i="3"/>
  <c r="BA387" i="3"/>
  <c r="AZ387" i="3" s="1"/>
  <c r="BL388" i="3"/>
  <c r="G389" i="3"/>
  <c r="BA391" i="3"/>
  <c r="AZ391" i="3" s="1"/>
  <c r="BL392" i="3"/>
  <c r="G393" i="3"/>
  <c r="AZ275" i="3"/>
  <c r="AZ287" i="3"/>
  <c r="AZ295" i="3"/>
  <c r="AZ299" i="3"/>
  <c r="BO5" i="3"/>
  <c r="BM5" i="3"/>
  <c r="BJ5" i="3"/>
  <c r="BH5" i="3"/>
  <c r="BF5" i="3"/>
  <c r="AZ317" i="3"/>
  <c r="BQ5" i="3"/>
  <c r="AC5" i="3"/>
  <c r="AZ506" i="3"/>
  <c r="AZ496" i="3"/>
  <c r="G548" i="3"/>
  <c r="G538" i="3"/>
  <c r="G520" i="3"/>
  <c r="G502" i="3"/>
  <c r="BS5" i="3"/>
  <c r="BP5" i="3"/>
  <c r="BN5" i="3"/>
  <c r="BK5" i="3"/>
  <c r="BI5" i="3"/>
  <c r="BG5" i="3"/>
  <c r="BE5" i="3"/>
  <c r="G17" i="3"/>
  <c r="BA17" i="3"/>
  <c r="BT5" i="3"/>
  <c r="AZ352" i="3"/>
  <c r="AZ364" i="3"/>
  <c r="BA15" i="3"/>
  <c r="BB5" i="3"/>
  <c r="BR5" i="3"/>
  <c r="G28" i="6" s="1"/>
  <c r="AZ384" i="3"/>
  <c r="AZ396" i="3"/>
  <c r="AZ394" i="3"/>
  <c r="AZ499" i="3"/>
  <c r="G509" i="3"/>
  <c r="BL493" i="3"/>
  <c r="AZ493" i="3" s="1"/>
  <c r="AZ491" i="3"/>
  <c r="AZ376" i="3"/>
  <c r="U36" i="40"/>
  <c r="N4" i="43"/>
  <c r="F36" i="43"/>
  <c r="F81" i="43"/>
  <c r="H83" i="43"/>
  <c r="H113" i="43"/>
  <c r="F48" i="43"/>
  <c r="H52" i="43" s="1"/>
  <c r="N7" i="43"/>
  <c r="F70" i="43"/>
  <c r="H73" i="43" s="1"/>
  <c r="M6" i="43"/>
  <c r="M11" i="43"/>
  <c r="E17" i="43"/>
  <c r="F39" i="43"/>
  <c r="I17" i="43"/>
  <c r="F35" i="43"/>
  <c r="J17" i="43"/>
  <c r="F6" i="1"/>
  <c r="U17" i="39"/>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H35" i="40"/>
  <c r="AB35" i="40" s="1"/>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E97" i="39"/>
  <c r="F97" i="39" s="1"/>
  <c r="G97" i="39" s="1"/>
  <c r="AZ354" i="3"/>
  <c r="AZ386" i="3"/>
  <c r="C40" i="11"/>
  <c r="AZ223" i="3"/>
  <c r="AZ232" i="3"/>
  <c r="AZ235" i="3"/>
  <c r="AZ248" i="3"/>
  <c r="AZ251" i="3"/>
  <c r="AZ271" i="3"/>
  <c r="AZ280" i="3"/>
  <c r="AZ288" i="3"/>
  <c r="AZ117" i="3"/>
  <c r="AZ133" i="3"/>
  <c r="AZ21" i="3"/>
  <c r="AZ31" i="3"/>
  <c r="AZ33" i="3"/>
  <c r="AZ37" i="3"/>
  <c r="AZ50" i="3"/>
  <c r="AZ53" i="3"/>
  <c r="AZ66" i="3"/>
  <c r="AZ69" i="3"/>
  <c r="AZ110" i="3"/>
  <c r="H75" i="43"/>
  <c r="H50" i="43"/>
  <c r="I20" i="43"/>
  <c r="F23" i="39"/>
  <c r="AA23" i="39" s="1"/>
  <c r="H27" i="36"/>
  <c r="U27" i="36" s="1"/>
  <c r="F27" i="36"/>
  <c r="H33" i="34"/>
  <c r="U33" i="34" s="1"/>
  <c r="F32" i="37"/>
  <c r="G96" i="37"/>
  <c r="H96" i="37" s="1"/>
  <c r="I96" i="37" s="1"/>
  <c r="J96" i="37" s="1"/>
  <c r="K96" i="37" s="1"/>
  <c r="L96" i="37" s="1"/>
  <c r="M96" i="37" s="1"/>
  <c r="F20" i="36"/>
  <c r="AA20" i="36" s="1"/>
  <c r="J33" i="34"/>
  <c r="AC33" i="34" s="1"/>
  <c r="H23" i="39"/>
  <c r="U23" i="39" s="1"/>
  <c r="D48" i="9"/>
  <c r="M52" i="9" s="1"/>
  <c r="H86" i="43"/>
  <c r="H82" i="43"/>
  <c r="H87" i="43"/>
  <c r="K9" i="1"/>
  <c r="M9" i="1" s="1"/>
  <c r="AE9" i="1"/>
  <c r="D93" i="9"/>
  <c r="G29" i="6"/>
  <c r="AC26" i="33"/>
  <c r="AC12" i="39"/>
  <c r="W12" i="39"/>
  <c r="AZ412" i="3"/>
  <c r="AZ417" i="3"/>
  <c r="AZ428" i="3"/>
  <c r="AZ433" i="3"/>
  <c r="AZ490" i="3"/>
  <c r="F28" i="6"/>
  <c r="BL14" i="3"/>
  <c r="U30" i="33"/>
  <c r="AC13" i="34"/>
  <c r="AA47" i="34"/>
  <c r="W28" i="37"/>
  <c r="F12" i="33"/>
  <c r="H12" i="39"/>
  <c r="AB12" i="39" s="1"/>
  <c r="F39" i="40"/>
  <c r="S39" i="40" s="1"/>
  <c r="BA14" i="3"/>
  <c r="AZ14" i="3" s="1"/>
  <c r="AZ367" i="3"/>
  <c r="AZ234" i="3"/>
  <c r="AZ250" i="3"/>
  <c r="AZ286" i="3"/>
  <c r="AZ297" i="3"/>
  <c r="AZ157" i="3"/>
  <c r="AZ173" i="3"/>
  <c r="AZ189" i="3"/>
  <c r="AZ19" i="3"/>
  <c r="AZ26" i="3"/>
  <c r="AZ35" i="3"/>
  <c r="S12" i="1"/>
  <c r="AQ12" i="1" s="1"/>
  <c r="R12" i="1"/>
  <c r="B12" i="1"/>
  <c r="E12" i="1"/>
  <c r="S10" i="1"/>
  <c r="AQ10" i="1" s="1"/>
  <c r="R10" i="1"/>
  <c r="B10" i="1"/>
  <c r="E10" i="1" s="1"/>
  <c r="AZ80"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U37" i="39"/>
  <c r="S43" i="39"/>
  <c r="S37" i="39"/>
  <c r="U35" i="39"/>
  <c r="F32" i="39"/>
  <c r="AA32" i="39" s="1"/>
  <c r="F107" i="39"/>
  <c r="G107" i="39" s="1"/>
  <c r="U25" i="39"/>
  <c r="AB27" i="39"/>
  <c r="U31" i="39"/>
  <c r="J21" i="39"/>
  <c r="AC21" i="39" s="1"/>
  <c r="F21" i="39"/>
  <c r="AA21" i="39" s="1"/>
  <c r="G95" i="39"/>
  <c r="H21" i="39"/>
  <c r="AB21" i="39" s="1"/>
  <c r="W19" i="39"/>
  <c r="U19" i="39"/>
  <c r="S17" i="39"/>
  <c r="S15" i="39"/>
  <c r="AB15" i="39"/>
  <c r="AA12" i="39"/>
  <c r="S9" i="39"/>
  <c r="U14" i="39"/>
  <c r="AC13" i="39"/>
  <c r="U12" i="39"/>
  <c r="S23" i="36"/>
  <c r="U13" i="36"/>
  <c r="U26" i="36"/>
  <c r="S33" i="36"/>
  <c r="AA26" i="36"/>
  <c r="AA34" i="36"/>
  <c r="S29" i="36"/>
  <c r="AC26" i="36"/>
  <c r="AA22" i="36"/>
  <c r="W14" i="36"/>
  <c r="AB14" i="36"/>
  <c r="U22" i="36"/>
  <c r="S16" i="36"/>
  <c r="AA25" i="36"/>
  <c r="S24" i="36"/>
  <c r="U24" i="36"/>
  <c r="U23" i="36"/>
  <c r="U16" i="36"/>
  <c r="S14" i="36"/>
  <c r="U10" i="36"/>
  <c r="W10" i="36"/>
  <c r="AA25" i="35"/>
  <c r="S23" i="35"/>
  <c r="W24" i="35"/>
  <c r="AB13"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AB9" i="35" s="1"/>
  <c r="AB40" i="37"/>
  <c r="S25" i="37"/>
  <c r="W27" i="37"/>
  <c r="S26" i="37"/>
  <c r="AC9" i="37"/>
  <c r="AC29" i="37"/>
  <c r="U29" i="37"/>
  <c r="AB31" i="37"/>
  <c r="W30" i="37"/>
  <c r="S36" i="37"/>
  <c r="AA38" i="37"/>
  <c r="W38" i="37"/>
  <c r="AC35" i="37"/>
  <c r="W39" i="37"/>
  <c r="S30" i="37"/>
  <c r="S37" i="37"/>
  <c r="AC15" i="37"/>
  <c r="J17" i="37"/>
  <c r="W17" i="37" s="1"/>
  <c r="F17" i="37"/>
  <c r="AA17" i="37" s="1"/>
  <c r="AB17" i="37"/>
  <c r="F75" i="37"/>
  <c r="F19" i="37"/>
  <c r="AA19" i="37" s="1"/>
  <c r="F79" i="37"/>
  <c r="F23" i="37"/>
  <c r="S23" i="37" s="1"/>
  <c r="U23" i="37"/>
  <c r="U15" i="37"/>
  <c r="AC13" i="37"/>
  <c r="U9" i="37"/>
  <c r="AA13" i="37"/>
  <c r="AA12" i="37"/>
  <c r="AA9" i="37"/>
  <c r="H10" i="37"/>
  <c r="AB10" i="37" s="1"/>
  <c r="H60" i="37"/>
  <c r="F11" i="37"/>
  <c r="S11" i="37" s="1"/>
  <c r="S27" i="34"/>
  <c r="W25" i="34"/>
  <c r="AB8" i="34"/>
  <c r="AA33" i="34"/>
  <c r="U44" i="34"/>
  <c r="U43" i="34"/>
  <c r="AC39" i="34"/>
  <c r="W41" i="34"/>
  <c r="AC42" i="34"/>
  <c r="AB35" i="34"/>
  <c r="U39" i="34"/>
  <c r="AB41" i="34"/>
  <c r="AA45" i="34"/>
  <c r="W34" i="34"/>
  <c r="AA25" i="34"/>
  <c r="U28" i="34"/>
  <c r="S17" i="34"/>
  <c r="AA29" i="34"/>
  <c r="U27" i="34"/>
  <c r="U15" i="34"/>
  <c r="S13" i="34"/>
  <c r="H10" i="34"/>
  <c r="AB10" i="34" s="1"/>
  <c r="W42" i="33"/>
  <c r="AA35" i="33"/>
  <c r="S32" i="33"/>
  <c r="AA29" i="33"/>
  <c r="AB29" i="33"/>
  <c r="W38" i="33"/>
  <c r="H41" i="33"/>
  <c r="U42" i="33"/>
  <c r="S42" i="33"/>
  <c r="H108" i="33"/>
  <c r="I108" i="33" s="1"/>
  <c r="J108" i="33"/>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87" i="33"/>
  <c r="G87" i="33" s="1"/>
  <c r="H87" i="33" s="1"/>
  <c r="I87" i="33" s="1"/>
  <c r="J87" i="33" s="1"/>
  <c r="K87" i="33" s="1"/>
  <c r="L87" i="33" s="1"/>
  <c r="M87" i="33" s="1"/>
  <c r="H25" i="33"/>
  <c r="AB25" i="33" s="1"/>
  <c r="F25" i="33"/>
  <c r="S25" i="33" s="1"/>
  <c r="J23" i="33"/>
  <c r="W23" i="33" s="1"/>
  <c r="F85" i="33"/>
  <c r="G85" i="33" s="1"/>
  <c r="H23" i="33"/>
  <c r="U23" i="33" s="1"/>
  <c r="F81" i="33"/>
  <c r="F19" i="33"/>
  <c r="S19" i="33" s="1"/>
  <c r="W19" i="33"/>
  <c r="J17" i="33"/>
  <c r="S15" i="33"/>
  <c r="W15" i="33"/>
  <c r="U9"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121" i="9" s="1"/>
  <c r="D7" i="52" s="1"/>
  <c r="C18" i="9"/>
  <c r="D18" i="9" s="1"/>
  <c r="F34" i="67"/>
  <c r="F62" i="67" s="1"/>
  <c r="M20" i="67"/>
  <c r="F34" i="15"/>
  <c r="F62" i="15" s="1"/>
  <c r="G13" i="3"/>
  <c r="A3" i="3" s="1"/>
  <c r="BL17" i="3"/>
  <c r="AZ17" i="3" s="1"/>
  <c r="BL13" i="3"/>
  <c r="J56" i="9"/>
  <c r="J57" i="9" s="1"/>
  <c r="A24" i="51"/>
  <c r="B18" i="72" s="1"/>
  <c r="U29" i="34"/>
  <c r="E5" i="6"/>
  <c r="D9" i="11" s="1"/>
  <c r="C9" i="11" s="1"/>
  <c r="E32" i="6"/>
  <c r="L19" i="6"/>
  <c r="G1" i="68"/>
  <c r="K1" i="12"/>
  <c r="AR12" i="1"/>
  <c r="T12" i="1"/>
  <c r="T10" i="1"/>
  <c r="E19" i="68"/>
  <c r="E1" i="73"/>
  <c r="G41" i="69"/>
  <c r="G22" i="69"/>
  <c r="G41" i="68"/>
  <c r="G22" i="68"/>
  <c r="G27" i="12"/>
  <c r="G26" i="12"/>
  <c r="G41" i="11"/>
  <c r="G22" i="11"/>
  <c r="G25" i="12"/>
  <c r="C100" i="43"/>
  <c r="E11" i="43"/>
  <c r="E10" i="43"/>
  <c r="E9" i="43"/>
  <c r="E8" i="43"/>
  <c r="E81" i="43"/>
  <c r="B79" i="43" s="1"/>
  <c r="E48" i="43"/>
  <c r="B46" i="43"/>
  <c r="E70" i="43"/>
  <c r="B68" i="43"/>
  <c r="F100" i="43"/>
  <c r="H17" i="43"/>
  <c r="D9" i="53"/>
  <c r="B25" i="72"/>
  <c r="B24" i="72"/>
  <c r="G6" i="1"/>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C7" i="21"/>
  <c r="C58" i="21" s="1"/>
  <c r="D58" i="21" s="1"/>
  <c r="C7" i="40"/>
  <c r="C63" i="40" s="1"/>
  <c r="M47" i="9"/>
  <c r="G19" i="43"/>
  <c r="O19"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L27" i="6" s="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41" i="39"/>
  <c r="AC25" i="39"/>
  <c r="U13" i="39"/>
  <c r="AB13" i="39"/>
  <c r="AA13" i="39"/>
  <c r="S13" i="39"/>
  <c r="S14" i="39"/>
  <c r="AA14" i="39"/>
  <c r="U43" i="39"/>
  <c r="AB43" i="39"/>
  <c r="AA27" i="39"/>
  <c r="S27" i="39"/>
  <c r="W17" i="39"/>
  <c r="AC17" i="39"/>
  <c r="W31" i="39"/>
  <c r="AC31" i="39"/>
  <c r="AA45" i="39"/>
  <c r="W34" i="39"/>
  <c r="S8" i="39"/>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AA31" i="21"/>
  <c r="U17" i="21"/>
  <c r="W29" i="21"/>
  <c r="S19" i="21"/>
  <c r="K141" i="21"/>
  <c r="K144" i="21"/>
  <c r="K143" i="21"/>
  <c r="U27" i="21"/>
  <c r="AB25" i="21"/>
  <c r="AB44" i="21"/>
  <c r="AA30" i="21"/>
  <c r="W13" i="21"/>
  <c r="W42"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T11" i="1"/>
  <c r="AR11" i="1"/>
  <c r="T13" i="1"/>
  <c r="AA39" i="40"/>
  <c r="S12" i="33"/>
  <c r="AA12" i="33"/>
  <c r="J32" i="39"/>
  <c r="AC32" i="39" s="1"/>
  <c r="H107" i="39"/>
  <c r="I107" i="39" s="1"/>
  <c r="J107" i="39" s="1"/>
  <c r="K107" i="39" s="1"/>
  <c r="L107" i="39" s="1"/>
  <c r="M107" i="39" s="1"/>
  <c r="H32" i="39"/>
  <c r="U32" i="39" s="1"/>
  <c r="S32" i="39"/>
  <c r="U21" i="39"/>
  <c r="S21" i="39"/>
  <c r="U9" i="35"/>
  <c r="AA9" i="35"/>
  <c r="AC17" i="37"/>
  <c r="S17" i="37"/>
  <c r="J19" i="37"/>
  <c r="W19" i="37" s="1"/>
  <c r="G75" i="37"/>
  <c r="S19" i="37"/>
  <c r="AA23" i="37"/>
  <c r="J23" i="37"/>
  <c r="G79" i="37"/>
  <c r="J10" i="37"/>
  <c r="I60" i="37"/>
  <c r="H11" i="37"/>
  <c r="AB11" i="37" s="1"/>
  <c r="U10" i="37"/>
  <c r="J10" i="34"/>
  <c r="AC10" i="34" s="1"/>
  <c r="AB41" i="33"/>
  <c r="U41" i="33"/>
  <c r="W32" i="33"/>
  <c r="AA25" i="33"/>
  <c r="J25" i="33"/>
  <c r="F23" i="33"/>
  <c r="AA23" i="33" s="1"/>
  <c r="AC23" i="33"/>
  <c r="H19" i="33"/>
  <c r="AB19" i="33" s="1"/>
  <c r="G81" i="33"/>
  <c r="G79" i="33"/>
  <c r="H17" i="33"/>
  <c r="U17" i="33" s="1"/>
  <c r="F17" i="33"/>
  <c r="AA17" i="33" s="1"/>
  <c r="W17" i="33"/>
  <c r="AC17" i="33"/>
  <c r="U10" i="33"/>
  <c r="AB10" i="33"/>
  <c r="AC10" i="33"/>
  <c r="AC37" i="21"/>
  <c r="S37" i="21"/>
  <c r="AB15" i="21"/>
  <c r="J23" i="21"/>
  <c r="F85" i="21"/>
  <c r="G85" i="21" s="1"/>
  <c r="H23" i="21"/>
  <c r="U23" i="21" s="1"/>
  <c r="S13" i="21"/>
  <c r="D6" i="52"/>
  <c r="K120" i="9"/>
  <c r="J59" i="9"/>
  <c r="J61" i="9" s="1"/>
  <c r="AP7" i="1"/>
  <c r="AB45" i="21"/>
  <c r="AC33" i="21"/>
  <c r="W33" i="21"/>
  <c r="S33" i="21"/>
  <c r="W32" i="21"/>
  <c r="AB9" i="21"/>
  <c r="AA32" i="21"/>
  <c r="S32" i="21"/>
  <c r="W9" i="21"/>
  <c r="AC9" i="21"/>
  <c r="AB32" i="21"/>
  <c r="U32" i="21"/>
  <c r="AA10" i="21"/>
  <c r="A18" i="62"/>
  <c r="B64" i="72" s="1"/>
  <c r="AB32" i="39"/>
  <c r="W32" i="39"/>
  <c r="AC19" i="37"/>
  <c r="W23" i="37"/>
  <c r="AC23" i="37"/>
  <c r="U11" i="37"/>
  <c r="J11" i="37"/>
  <c r="W10" i="37"/>
  <c r="AC10" i="37"/>
  <c r="W25" i="33"/>
  <c r="AC25" i="33"/>
  <c r="S23" i="33"/>
  <c r="AB17" i="33"/>
  <c r="AC23" i="21"/>
  <c r="W23" i="21"/>
  <c r="AC11" i="37"/>
  <c r="W11" i="37"/>
  <c r="AG6" i="1"/>
  <c r="H109" i="9"/>
  <c r="D16" i="53" s="1"/>
  <c r="D124" i="9"/>
  <c r="H14" i="74" s="1"/>
  <c r="B7" i="74" s="1"/>
  <c r="H112" i="9"/>
  <c r="D21" i="53" s="1"/>
  <c r="B39" i="72" s="1"/>
  <c r="H111" i="9"/>
  <c r="D126" i="9" s="1"/>
  <c r="D59" i="9"/>
  <c r="M55" i="9"/>
  <c r="AD3" i="71"/>
  <c r="AO12" i="1"/>
  <c r="B12" i="76"/>
  <c r="F36" i="15"/>
  <c r="B7" i="76"/>
  <c r="F16" i="67"/>
  <c r="F7" i="67"/>
  <c r="M28" i="67"/>
  <c r="B11" i="76"/>
  <c r="AO11" i="1"/>
  <c r="E12" i="76"/>
  <c r="J15" i="67"/>
  <c r="C76" i="67"/>
  <c r="E10" i="76"/>
  <c r="F36" i="67"/>
  <c r="E13" i="76"/>
  <c r="F6" i="73"/>
  <c r="E7" i="76"/>
  <c r="D6" i="73"/>
  <c r="AO13" i="1"/>
  <c r="B9" i="76"/>
  <c r="E8" i="76"/>
  <c r="D7" i="73"/>
  <c r="D2" i="35"/>
  <c r="M28" i="15"/>
  <c r="F4" i="73"/>
  <c r="B8" i="76"/>
  <c r="F20" i="31"/>
  <c r="F26" i="15"/>
  <c r="M9" i="67"/>
  <c r="F40" i="15"/>
  <c r="F42" i="15"/>
  <c r="AO9" i="1"/>
  <c r="E2" i="69"/>
  <c r="B13" i="76"/>
  <c r="AO10" i="1"/>
  <c r="D2" i="36"/>
  <c r="M24" i="67"/>
  <c r="M9" i="15"/>
  <c r="E11" i="76"/>
  <c r="F16" i="15"/>
  <c r="D2" i="34"/>
  <c r="D5" i="73"/>
  <c r="E9" i="76"/>
  <c r="M23" i="67"/>
  <c r="F26" i="67"/>
  <c r="F3" i="73"/>
  <c r="F7" i="73"/>
  <c r="M24" i="15"/>
  <c r="M26" i="67"/>
  <c r="F9" i="67"/>
  <c r="D2" i="33"/>
  <c r="F5" i="73"/>
  <c r="D2" i="21"/>
  <c r="E2" i="68"/>
  <c r="M22" i="15"/>
  <c r="D4" i="73"/>
  <c r="D2" i="37"/>
  <c r="F13" i="15"/>
  <c r="D3" i="73"/>
  <c r="B10" i="76"/>
  <c r="F6" i="67"/>
  <c r="F8" i="67"/>
  <c r="F8" i="15"/>
  <c r="L48" i="67"/>
  <c r="L48" i="15"/>
  <c r="M6" i="67"/>
  <c r="S38" i="33" l="1"/>
  <c r="AC35" i="33"/>
  <c r="V24" i="1"/>
  <c r="W28" i="1" s="1"/>
  <c r="U6" i="1" s="1"/>
  <c r="S26" i="33"/>
  <c r="U25" i="33"/>
  <c r="AA9" i="21"/>
  <c r="S9" i="21"/>
  <c r="AC9" i="33"/>
  <c r="W9" i="33"/>
  <c r="AC27" i="34"/>
  <c r="W27" i="34"/>
  <c r="U34" i="36"/>
  <c r="AB34" i="36"/>
  <c r="U33" i="36"/>
  <c r="AB33" i="36"/>
  <c r="W43" i="39"/>
  <c r="AC43" i="39"/>
  <c r="AB45" i="39"/>
  <c r="U45" i="39"/>
  <c r="W37" i="39"/>
  <c r="AC37" i="39"/>
  <c r="W33" i="40"/>
  <c r="AC33" i="40"/>
  <c r="G30" i="6"/>
  <c r="G31" i="6" s="1"/>
  <c r="E28" i="6"/>
  <c r="K14" i="1" s="1"/>
  <c r="M14" i="1" s="1"/>
  <c r="W45" i="21"/>
  <c r="AC45" i="21"/>
  <c r="W12" i="33"/>
  <c r="AC12" i="33"/>
  <c r="W34" i="35"/>
  <c r="AC34" i="35"/>
  <c r="AA32" i="36"/>
  <c r="S32" i="36"/>
  <c r="U44" i="39"/>
  <c r="AB44" i="39"/>
  <c r="H112" i="34"/>
  <c r="I112" i="34" s="1"/>
  <c r="J112" i="34" s="1"/>
  <c r="K112" i="34" s="1"/>
  <c r="L112" i="34" s="1"/>
  <c r="M112" i="34" s="1"/>
  <c r="F37" i="34"/>
  <c r="H37" i="34"/>
  <c r="U37" i="34" s="1"/>
  <c r="J37" i="34"/>
  <c r="H87" i="35"/>
  <c r="I87" i="35" s="1"/>
  <c r="J87" i="35" s="1"/>
  <c r="K87" i="35" s="1"/>
  <c r="L87" i="35" s="1"/>
  <c r="M87" i="35" s="1"/>
  <c r="J29" i="35"/>
  <c r="F29" i="35"/>
  <c r="S29" i="35" s="1"/>
  <c r="H29" i="35"/>
  <c r="AB29" i="35" s="1"/>
  <c r="AB23" i="21"/>
  <c r="AZ380" i="3"/>
  <c r="AZ581" i="3"/>
  <c r="BL586" i="3"/>
  <c r="AZ586" i="3" s="1"/>
  <c r="BL548" i="3"/>
  <c r="M20" i="15"/>
  <c r="F34" i="80"/>
  <c r="F62" i="80" s="1"/>
  <c r="M20" i="80"/>
  <c r="M20" i="79"/>
  <c r="F34" i="79"/>
  <c r="F62" i="79" s="1"/>
  <c r="BD5" i="3"/>
  <c r="AZ402" i="3"/>
  <c r="AZ406" i="3"/>
  <c r="AZ419" i="3"/>
  <c r="AZ435" i="3"/>
  <c r="AZ450" i="3"/>
  <c r="AZ454" i="3"/>
  <c r="F53" i="9"/>
  <c r="D68" i="83"/>
  <c r="F52" i="83"/>
  <c r="D68" i="82"/>
  <c r="F54" i="82"/>
  <c r="F53" i="82"/>
  <c r="F32" i="80"/>
  <c r="F60" i="80" s="1"/>
  <c r="F52" i="82"/>
  <c r="F54" i="83"/>
  <c r="F53" i="83"/>
  <c r="F28" i="80"/>
  <c r="C28" i="80" s="1"/>
  <c r="M18" i="80"/>
  <c r="F28" i="79"/>
  <c r="C28" i="79" s="1"/>
  <c r="M18" i="79"/>
  <c r="F32" i="79"/>
  <c r="F60" i="79" s="1"/>
  <c r="C24" i="12"/>
  <c r="C77" i="82"/>
  <c r="C74" i="82" s="1"/>
  <c r="C77" i="83"/>
  <c r="C74" i="83" s="1"/>
  <c r="H110" i="9"/>
  <c r="D18" i="53" s="1"/>
  <c r="B35" i="72" s="1"/>
  <c r="AA23" i="21"/>
  <c r="U33" i="21"/>
  <c r="C77" i="9"/>
  <c r="C74" i="9" s="1"/>
  <c r="W33" i="34"/>
  <c r="S20" i="36"/>
  <c r="AB23" i="39"/>
  <c r="C7" i="43"/>
  <c r="S43" i="34"/>
  <c r="U32" i="37"/>
  <c r="S20" i="35"/>
  <c r="AB20" i="36"/>
  <c r="AB27" i="36"/>
  <c r="AA27" i="40"/>
  <c r="AB27" i="40"/>
  <c r="AA34" i="33"/>
  <c r="AA39" i="34"/>
  <c r="H48" i="43"/>
  <c r="H74" i="43"/>
  <c r="F29" i="6"/>
  <c r="F30" i="6" s="1"/>
  <c r="AZ361" i="3"/>
  <c r="AZ16" i="3"/>
  <c r="AZ390" i="3"/>
  <c r="AZ347" i="3"/>
  <c r="AZ344" i="3"/>
  <c r="AZ313" i="3"/>
  <c r="AZ378" i="3"/>
  <c r="AZ327" i="3"/>
  <c r="AZ511" i="3"/>
  <c r="AZ519" i="3"/>
  <c r="AZ569" i="3"/>
  <c r="AZ577" i="3"/>
  <c r="AZ495" i="3"/>
  <c r="AZ513" i="3"/>
  <c r="AZ517" i="3"/>
  <c r="AZ567" i="3"/>
  <c r="AZ571" i="3"/>
  <c r="AZ575" i="3"/>
  <c r="AZ579" i="3"/>
  <c r="AZ568" i="3"/>
  <c r="AZ576" i="3"/>
  <c r="U13" i="33"/>
  <c r="AB45" i="33"/>
  <c r="AA14" i="34"/>
  <c r="AB46" i="34"/>
  <c r="W11" i="36"/>
  <c r="AA14" i="37"/>
  <c r="AB26" i="33"/>
  <c r="AB11" i="35"/>
  <c r="AA15" i="34"/>
  <c r="C27" i="39"/>
  <c r="S40" i="21"/>
  <c r="S27" i="35"/>
  <c r="U34" i="34"/>
  <c r="U9" i="36"/>
  <c r="W8" i="36"/>
  <c r="BL585" i="3"/>
  <c r="AZ585" i="3" s="1"/>
  <c r="F9" i="33"/>
  <c r="H12" i="33"/>
  <c r="F34" i="35"/>
  <c r="H34" i="35"/>
  <c r="J36" i="35"/>
  <c r="F44" i="39"/>
  <c r="G570" i="3"/>
  <c r="G556" i="3"/>
  <c r="BA550" i="3"/>
  <c r="G526" i="3"/>
  <c r="D3" i="35"/>
  <c r="G14" i="3"/>
  <c r="BC5" i="3"/>
  <c r="BL15" i="3"/>
  <c r="AZ15" i="3" s="1"/>
  <c r="D93" i="83"/>
  <c r="D78" i="83"/>
  <c r="D78" i="82"/>
  <c r="D93" i="82"/>
  <c r="G400" i="3"/>
  <c r="BL400" i="3"/>
  <c r="BA403" i="3"/>
  <c r="AZ403" i="3" s="1"/>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BA430" i="3"/>
  <c r="AZ430" i="3" s="1"/>
  <c r="G433" i="3"/>
  <c r="G434" i="3"/>
  <c r="BA436" i="3"/>
  <c r="AZ436" i="3" s="1"/>
  <c r="BA437" i="3"/>
  <c r="AZ437" i="3" s="1"/>
  <c r="BA438" i="3"/>
  <c r="BL438" i="3"/>
  <c r="BA439" i="3"/>
  <c r="AZ439" i="3" s="1"/>
  <c r="BL441" i="3"/>
  <c r="AZ441" i="3" s="1"/>
  <c r="G443" i="3"/>
  <c r="G445" i="3"/>
  <c r="BL445" i="3"/>
  <c r="G447" i="3"/>
  <c r="BL447" i="3"/>
  <c r="BA448" i="3"/>
  <c r="AZ448" i="3" s="1"/>
  <c r="BA451" i="3"/>
  <c r="BL451" i="3"/>
  <c r="BA452" i="3"/>
  <c r="AZ452" i="3" s="1"/>
  <c r="AZ481" i="3"/>
  <c r="G455" i="3"/>
  <c r="BL455" i="3"/>
  <c r="AZ455" i="3" s="1"/>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52" i="3"/>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A18" i="3"/>
  <c r="AZ18" i="3" s="1"/>
  <c r="BL18" i="3"/>
  <c r="BL20" i="3"/>
  <c r="AZ20" i="3" s="1"/>
  <c r="G23" i="3"/>
  <c r="BL23" i="3"/>
  <c r="AZ23" i="3" s="1"/>
  <c r="G26" i="3"/>
  <c r="G27" i="3"/>
  <c r="BL27" i="3"/>
  <c r="AZ27" i="3" s="1"/>
  <c r="BL29" i="3"/>
  <c r="AZ29" i="3" s="1"/>
  <c r="G31" i="3"/>
  <c r="G32" i="3"/>
  <c r="G33" i="3"/>
  <c r="G34" i="3"/>
  <c r="BL34" i="3"/>
  <c r="G37" i="3"/>
  <c r="G38" i="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BA97" i="3"/>
  <c r="AZ97" i="3" s="1"/>
  <c r="G100" i="3"/>
  <c r="BL100" i="3"/>
  <c r="BL102" i="3"/>
  <c r="AZ102" i="3" s="1"/>
  <c r="BA103" i="3"/>
  <c r="AZ103" i="3" s="1"/>
  <c r="BL105" i="3"/>
  <c r="AZ105" i="3" s="1"/>
  <c r="BA106" i="3"/>
  <c r="AZ106" i="3" s="1"/>
  <c r="BA107" i="3"/>
  <c r="AZ107" i="3" s="1"/>
  <c r="BL109" i="3"/>
  <c r="AZ109" i="3" s="1"/>
  <c r="BL111" i="3"/>
  <c r="AZ111" i="3" s="1"/>
  <c r="BA112" i="3"/>
  <c r="AZ112" i="3" s="1"/>
  <c r="G1" i="80"/>
  <c r="G1" i="79"/>
  <c r="J51" i="15"/>
  <c r="J53" i="15" s="1"/>
  <c r="M100" i="43"/>
  <c r="I100" i="43"/>
  <c r="E100" i="43"/>
  <c r="D100" i="43"/>
  <c r="I10" i="66"/>
  <c r="C51" i="10"/>
  <c r="A13" i="51" s="1"/>
  <c r="B11" i="72" s="1"/>
  <c r="A118" i="83"/>
  <c r="A2" i="83"/>
  <c r="A2" i="82"/>
  <c r="A118" i="82"/>
  <c r="D60" i="71"/>
  <c r="D48" i="71"/>
  <c r="D13" i="71"/>
  <c r="U13" i="71" s="1"/>
  <c r="AB15" i="71"/>
  <c r="AB16" i="71"/>
  <c r="C36" i="71"/>
  <c r="D35" i="71"/>
  <c r="B40" i="71"/>
  <c r="B41" i="71" s="1"/>
  <c r="S41" i="71" s="1"/>
  <c r="E40" i="71"/>
  <c r="E41" i="71" s="1"/>
  <c r="U41" i="71" s="1"/>
  <c r="AC12" i="43"/>
  <c r="AC10" i="43"/>
  <c r="AG12" i="43"/>
  <c r="AG10" i="43"/>
  <c r="N56" i="83"/>
  <c r="K56" i="83"/>
  <c r="N56" i="82"/>
  <c r="K56" i="82"/>
  <c r="J56" i="82"/>
  <c r="J57" i="82" s="1"/>
  <c r="J59" i="82" s="1"/>
  <c r="J61" i="82" s="1"/>
  <c r="M56" i="83"/>
  <c r="J56" i="83"/>
  <c r="J57" i="83" s="1"/>
  <c r="J59" i="83" s="1"/>
  <c r="J61" i="83" s="1"/>
  <c r="M56" i="82"/>
  <c r="M56" i="9"/>
  <c r="X11" i="71"/>
  <c r="AA3" i="71"/>
  <c r="M47" i="82"/>
  <c r="M47" i="83"/>
  <c r="J51" i="80"/>
  <c r="J51" i="79"/>
  <c r="C29" i="39"/>
  <c r="B66" i="43"/>
  <c r="O51" i="71"/>
  <c r="O50" i="71"/>
  <c r="E13" i="71"/>
  <c r="AA13" i="71"/>
  <c r="AA14" i="71"/>
  <c r="AA20" i="71"/>
  <c r="AA21" i="71"/>
  <c r="T57" i="71"/>
  <c r="C56" i="71"/>
  <c r="D57" i="71"/>
  <c r="T65" i="71"/>
  <c r="C64" i="71"/>
  <c r="D65" i="71"/>
  <c r="AE10" i="43"/>
  <c r="Z12" i="43"/>
  <c r="Z10" i="43"/>
  <c r="AD12" i="43"/>
  <c r="AD10" i="43"/>
  <c r="AH12" i="43"/>
  <c r="AH10" i="43"/>
  <c r="AB11" i="71"/>
  <c r="Y12" i="71"/>
  <c r="Z12" i="71" s="1"/>
  <c r="K56" i="9"/>
  <c r="AA10" i="71"/>
  <c r="AB10" i="71"/>
  <c r="AB12" i="71"/>
  <c r="Y15" i="71"/>
  <c r="Z15" i="71" s="1"/>
  <c r="X14" i="71"/>
  <c r="F20" i="71"/>
  <c r="F21" i="71" s="1"/>
  <c r="V21" i="71" s="1"/>
  <c r="Y19" i="71"/>
  <c r="Z19" i="71" s="1"/>
  <c r="X17" i="71"/>
  <c r="F28" i="71"/>
  <c r="F29" i="71" s="1"/>
  <c r="V29" i="71" s="1"/>
  <c r="C44" i="71"/>
  <c r="P61" i="15"/>
  <c r="T9" i="1"/>
  <c r="AQ9" i="1"/>
  <c r="AQ13" i="1"/>
  <c r="AR10" i="1"/>
  <c r="F36" i="33"/>
  <c r="H111" i="33"/>
  <c r="I111" i="33" s="1"/>
  <c r="J111" i="33" s="1"/>
  <c r="K111" i="33" s="1"/>
  <c r="L111" i="33" s="1"/>
  <c r="M111" i="33" s="1"/>
  <c r="H36" i="33"/>
  <c r="J36" i="33"/>
  <c r="W36" i="33" s="1"/>
  <c r="H27" i="33"/>
  <c r="F27" i="33"/>
  <c r="F91" i="33"/>
  <c r="G91" i="33" s="1"/>
  <c r="H91" i="33" s="1"/>
  <c r="I91" i="33" s="1"/>
  <c r="J91" i="33" s="1"/>
  <c r="K91" i="33" s="1"/>
  <c r="L91" i="33" s="1"/>
  <c r="M91" i="33" s="1"/>
  <c r="J27" i="33"/>
  <c r="W27" i="33" s="1"/>
  <c r="U32" i="33"/>
  <c r="E8" i="6"/>
  <c r="E11" i="6"/>
  <c r="E61" i="39" s="1"/>
  <c r="E13" i="6"/>
  <c r="E10" i="6"/>
  <c r="E14" i="6"/>
  <c r="BA13" i="3"/>
  <c r="AZ13" i="3" s="1"/>
  <c r="M8" i="1"/>
  <c r="M18" i="82"/>
  <c r="B118" i="82" s="1"/>
  <c r="U31" i="35"/>
  <c r="U29" i="35"/>
  <c r="AA29" i="35"/>
  <c r="AB20" i="35"/>
  <c r="S18" i="35"/>
  <c r="AC18" i="35"/>
  <c r="W16" i="35"/>
  <c r="AA16" i="35"/>
  <c r="S14" i="35"/>
  <c r="AC14" i="35"/>
  <c r="F26" i="35"/>
  <c r="H26" i="35"/>
  <c r="J26" i="35"/>
  <c r="W33" i="33"/>
  <c r="AB23" i="33"/>
  <c r="U19" i="33"/>
  <c r="AA19" i="33"/>
  <c r="S17" i="33"/>
  <c r="S11" i="33"/>
  <c r="W10" i="34"/>
  <c r="U10" i="34"/>
  <c r="AB37" i="34"/>
  <c r="S35" i="34"/>
  <c r="AB23" i="34"/>
  <c r="S23" i="34"/>
  <c r="W21" i="34"/>
  <c r="S21" i="34"/>
  <c r="W19" i="34"/>
  <c r="AB17" i="34"/>
  <c r="S10" i="34"/>
  <c r="AC9" i="34"/>
  <c r="W9" i="34"/>
  <c r="F9" i="34"/>
  <c r="F27" i="6"/>
  <c r="E56" i="39"/>
  <c r="E15" i="6"/>
  <c r="E65" i="39" s="1"/>
  <c r="M7" i="1"/>
  <c r="G5" i="3"/>
  <c r="B3" i="3" s="1"/>
  <c r="E261" i="3" s="1"/>
  <c r="O7" i="1"/>
  <c r="P7" i="1" s="1"/>
  <c r="P74" i="67"/>
  <c r="J53" i="67"/>
  <c r="D22" i="67"/>
  <c r="W42" i="39"/>
  <c r="AB39" i="39"/>
  <c r="AA39" i="39"/>
  <c r="AA41" i="39"/>
  <c r="S42" i="39"/>
  <c r="W29" i="39"/>
  <c r="U29" i="39"/>
  <c r="S29" i="39"/>
  <c r="W27" i="39"/>
  <c r="S25" i="39"/>
  <c r="S23" i="39"/>
  <c r="W21" i="39"/>
  <c r="S19" i="39"/>
  <c r="AC15" i="39"/>
  <c r="F32" i="67"/>
  <c r="F60" i="67" s="1"/>
  <c r="F54" i="9"/>
  <c r="F28" i="15"/>
  <c r="C28" i="15" s="1"/>
  <c r="F31" i="12"/>
  <c r="C31" i="12" s="1"/>
  <c r="F32" i="15"/>
  <c r="F60" i="15" s="1"/>
  <c r="F30" i="11"/>
  <c r="C13" i="12"/>
  <c r="D68" i="9"/>
  <c r="M18" i="15"/>
  <c r="F30" i="69"/>
  <c r="M18" i="67"/>
  <c r="F52" i="9"/>
  <c r="F28" i="67"/>
  <c r="C28" i="67" s="1"/>
  <c r="F30" i="68"/>
  <c r="E19" i="11"/>
  <c r="D23" i="67"/>
  <c r="E231" i="3"/>
  <c r="D9" i="69"/>
  <c r="C9" i="69" s="1"/>
  <c r="O10" i="1"/>
  <c r="P10" i="1" s="1"/>
  <c r="C36" i="69"/>
  <c r="E51" i="40"/>
  <c r="E60" i="40"/>
  <c r="C34" i="69"/>
  <c r="C38" i="69" s="1"/>
  <c r="Q16" i="1"/>
  <c r="F28" i="12" s="1"/>
  <c r="C29" i="12" s="1"/>
  <c r="D28" i="12" s="1"/>
  <c r="H16" i="1"/>
  <c r="D19" i="12"/>
  <c r="C19" i="12" s="1"/>
  <c r="E12" i="6"/>
  <c r="E56" i="40"/>
  <c r="AB8" i="39"/>
  <c r="B34" i="72"/>
  <c r="D17" i="53"/>
  <c r="B36" i="72" s="1"/>
  <c r="D19" i="53"/>
  <c r="D125" i="9"/>
  <c r="D11" i="52" s="1"/>
  <c r="D10" i="52"/>
  <c r="G16" i="1"/>
  <c r="H10" i="40" s="1"/>
  <c r="C70" i="39"/>
  <c r="D68" i="39"/>
  <c r="I14" i="74"/>
  <c r="B8" i="74" s="1"/>
  <c r="D127" i="9"/>
  <c r="D13" i="52" s="1"/>
  <c r="D12" i="52"/>
  <c r="O14" i="1"/>
  <c r="P14" i="1" s="1"/>
  <c r="M16" i="1"/>
  <c r="E58" i="21"/>
  <c r="F58" i="21" s="1"/>
  <c r="G58" i="21" s="1"/>
  <c r="H58" i="21" s="1"/>
  <c r="I58" i="21" s="1"/>
  <c r="J58" i="21" s="1"/>
  <c r="K58" i="21" s="1"/>
  <c r="L58" i="21" s="1"/>
  <c r="M58" i="21" s="1"/>
  <c r="N58" i="21" s="1"/>
  <c r="O58" i="21" s="1"/>
  <c r="E59" i="34"/>
  <c r="F59" i="34" s="1"/>
  <c r="G59" i="34" s="1"/>
  <c r="H59" i="34" s="1"/>
  <c r="I59" i="34" s="1"/>
  <c r="J59" i="34" s="1"/>
  <c r="K59" i="34" s="1"/>
  <c r="L59" i="34" s="1"/>
  <c r="M59" i="34" s="1"/>
  <c r="N59" i="34" s="1"/>
  <c r="O59" i="34" s="1"/>
  <c r="D63" i="40"/>
  <c r="C65" i="40"/>
  <c r="E58" i="33"/>
  <c r="F58" i="33" s="1"/>
  <c r="G58" i="33" s="1"/>
  <c r="H58" i="33" s="1"/>
  <c r="I58" i="33" s="1"/>
  <c r="J58" i="33" s="1"/>
  <c r="K58" i="33" s="1"/>
  <c r="L58" i="33" s="1"/>
  <c r="M58" i="33" s="1"/>
  <c r="N58" i="33" s="1"/>
  <c r="O58" i="33" s="1"/>
  <c r="E48" i="35"/>
  <c r="F48" i="35" s="1"/>
  <c r="G48" i="35" s="1"/>
  <c r="H48" i="35" s="1"/>
  <c r="I48" i="35" s="1"/>
  <c r="J48" i="35" s="1"/>
  <c r="K48" i="35" s="1"/>
  <c r="L48" i="35" s="1"/>
  <c r="M48" i="35" s="1"/>
  <c r="N48" i="35" s="1"/>
  <c r="O48" i="35" s="1"/>
  <c r="J7" i="35"/>
  <c r="E52" i="37"/>
  <c r="F52" i="37" s="1"/>
  <c r="G52" i="37" s="1"/>
  <c r="H52" i="37" s="1"/>
  <c r="I52" i="37" s="1"/>
  <c r="J52" i="37" s="1"/>
  <c r="K52" i="37" s="1"/>
  <c r="L52" i="37" s="1"/>
  <c r="M52" i="37" s="1"/>
  <c r="N52" i="37" s="1"/>
  <c r="O52" i="37" s="1"/>
  <c r="H7" i="37"/>
  <c r="F7" i="37"/>
  <c r="F46" i="36"/>
  <c r="G46" i="36" s="1"/>
  <c r="H46" i="36" s="1"/>
  <c r="I46" i="36" s="1"/>
  <c r="J46" i="36" s="1"/>
  <c r="K46" i="36" s="1"/>
  <c r="L46" i="36" s="1"/>
  <c r="M46" i="36" s="1"/>
  <c r="N46" i="36" s="1"/>
  <c r="O46" i="36" s="1"/>
  <c r="AA32" i="37"/>
  <c r="S32" i="37"/>
  <c r="AA27" i="36"/>
  <c r="S27" i="36"/>
  <c r="AB36" i="35"/>
  <c r="U36" i="35"/>
  <c r="D5" i="43"/>
  <c r="P12" i="1"/>
  <c r="O9" i="1"/>
  <c r="AC39" i="39"/>
  <c r="W39" i="39"/>
  <c r="E29" i="6"/>
  <c r="AZ557" i="3"/>
  <c r="AA12" i="21"/>
  <c r="S12" i="21"/>
  <c r="F38" i="40"/>
  <c r="J38" i="40"/>
  <c r="H38" i="40"/>
  <c r="BL550" i="3"/>
  <c r="AZ398" i="3"/>
  <c r="AZ405" i="3"/>
  <c r="AZ410" i="3"/>
  <c r="AZ415" i="3"/>
  <c r="AZ460" i="3"/>
  <c r="AC27" i="36"/>
  <c r="H49" i="43"/>
  <c r="AA25" i="21"/>
  <c r="AZ548" i="3"/>
  <c r="W31" i="34"/>
  <c r="AA13" i="35"/>
  <c r="J39" i="40"/>
  <c r="H39" i="40"/>
  <c r="BA551" i="3"/>
  <c r="AZ400" i="3"/>
  <c r="AZ424" i="3"/>
  <c r="AZ429" i="3"/>
  <c r="AZ445" i="3"/>
  <c r="AZ447" i="3"/>
  <c r="AZ464" i="3"/>
  <c r="AZ467" i="3"/>
  <c r="AZ474" i="3"/>
  <c r="AZ480" i="3"/>
  <c r="AZ482" i="3"/>
  <c r="AZ486" i="3"/>
  <c r="AZ488" i="3"/>
  <c r="C20" i="43"/>
  <c r="AZ395" i="3"/>
  <c r="AZ208" i="3"/>
  <c r="AZ211" i="3"/>
  <c r="AZ219" i="3"/>
  <c r="AZ236" i="3"/>
  <c r="AZ252" i="3"/>
  <c r="AZ272" i="3"/>
  <c r="AZ276" i="3"/>
  <c r="AZ289" i="3"/>
  <c r="AZ294" i="3"/>
  <c r="AZ300" i="3"/>
  <c r="AZ118" i="3"/>
  <c r="AZ121" i="3"/>
  <c r="AZ134" i="3"/>
  <c r="AZ137" i="3"/>
  <c r="AZ145" i="3"/>
  <c r="AZ161" i="3"/>
  <c r="AZ177" i="3"/>
  <c r="AZ193" i="3"/>
  <c r="AZ95" i="3"/>
  <c r="AZ100" i="3"/>
  <c r="AZ34" i="3"/>
  <c r="AZ44" i="3"/>
  <c r="AZ56" i="3"/>
  <c r="AZ60" i="3"/>
  <c r="AZ73" i="3"/>
  <c r="AZ78" i="3"/>
  <c r="C21" i="68"/>
  <c r="C40" i="68"/>
  <c r="AA18" i="36"/>
  <c r="S18" i="36"/>
  <c r="F3" i="35"/>
  <c r="C21" i="69"/>
  <c r="C40" i="69"/>
  <c r="AA21" i="33"/>
  <c r="T29" i="71"/>
  <c r="D29" i="71"/>
  <c r="D44" i="71"/>
  <c r="C45" i="71"/>
  <c r="D12" i="71"/>
  <c r="AA12" i="71"/>
  <c r="S13" i="71"/>
  <c r="C24" i="71"/>
  <c r="X13" i="71"/>
  <c r="Y13" i="71"/>
  <c r="Z13" i="71" s="1"/>
  <c r="Y11" i="71"/>
  <c r="Z11" i="71" s="1"/>
  <c r="Y22" i="71"/>
  <c r="Z22" i="71" s="1"/>
  <c r="AA19" i="71"/>
  <c r="Y18" i="71"/>
  <c r="Z18" i="71" s="1"/>
  <c r="X15" i="71"/>
  <c r="C16" i="71"/>
  <c r="E25" i="71"/>
  <c r="U25" i="71" s="1"/>
  <c r="B21" i="71"/>
  <c r="S21" i="71" s="1"/>
  <c r="B17" i="71"/>
  <c r="S17" i="71" s="1"/>
  <c r="X10" i="71"/>
  <c r="X12" i="71"/>
  <c r="Y14" i="71"/>
  <c r="Z14" i="71" s="1"/>
  <c r="AB14" i="71"/>
  <c r="F15" i="71"/>
  <c r="F16" i="71" s="1"/>
  <c r="F17" i="71" s="1"/>
  <c r="V17" i="71" s="1"/>
  <c r="Y16" i="71"/>
  <c r="Z16" i="71" s="1"/>
  <c r="AA15" i="71"/>
  <c r="AA16" i="71"/>
  <c r="Y17" i="71"/>
  <c r="Z17" i="71" s="1"/>
  <c r="AB17" i="71"/>
  <c r="Y20" i="71"/>
  <c r="Z20" i="71" s="1"/>
  <c r="AA18" i="71"/>
  <c r="AA17" i="71"/>
  <c r="Y21" i="71"/>
  <c r="Z21" i="71" s="1"/>
  <c r="E32" i="71"/>
  <c r="E33" i="71" s="1"/>
  <c r="U33" i="71" s="1"/>
  <c r="B48" i="71"/>
  <c r="B49" i="71" s="1"/>
  <c r="S49" i="71" s="1"/>
  <c r="Q51" i="71"/>
  <c r="Q50" i="71"/>
  <c r="X9" i="71"/>
  <c r="Y7" i="71"/>
  <c r="Z7" i="71" s="1"/>
  <c r="AB7" i="71"/>
  <c r="C20" i="71"/>
  <c r="D19" i="71"/>
  <c r="X18" i="71"/>
  <c r="X19" i="71"/>
  <c r="X20" i="71"/>
  <c r="AA24" i="71"/>
  <c r="AA22" i="71"/>
  <c r="B8" i="71"/>
  <c r="B7" i="71" s="1"/>
  <c r="B6" i="71" s="1"/>
  <c r="B5" i="71" s="1"/>
  <c r="S9" i="71"/>
  <c r="Y9" i="71"/>
  <c r="Z9" i="71" s="1"/>
  <c r="Y3" i="71"/>
  <c r="Z3" i="71" s="1"/>
  <c r="AA9" i="71"/>
  <c r="AB9" i="71"/>
  <c r="Y8" i="71"/>
  <c r="Z8" i="71" s="1"/>
  <c r="AA8" i="71"/>
  <c r="AB8" i="71"/>
  <c r="X8" i="71"/>
  <c r="S53" i="71"/>
  <c r="B52" i="71"/>
  <c r="C8" i="71"/>
  <c r="T9" i="71"/>
  <c r="D9" i="71"/>
  <c r="U9" i="71" s="1"/>
  <c r="X7" i="71"/>
  <c r="X6" i="71"/>
  <c r="AA6" i="71"/>
  <c r="Y6" i="71"/>
  <c r="Z6" i="71" s="1"/>
  <c r="AB6" i="71"/>
  <c r="AB5" i="71"/>
  <c r="AA7" i="71"/>
  <c r="X5" i="71"/>
  <c r="AA5" i="71"/>
  <c r="F6" i="71"/>
  <c r="F5" i="71" s="1"/>
  <c r="Y5" i="71"/>
  <c r="Z5" i="71" s="1"/>
  <c r="B7" i="49"/>
  <c r="E4" i="4" s="1"/>
  <c r="B5" i="62" s="1"/>
  <c r="B73" i="72" s="1"/>
  <c r="E7" i="49"/>
  <c r="B15" i="49"/>
  <c r="AB3" i="71"/>
  <c r="X3" i="71"/>
  <c r="E6" i="71"/>
  <c r="E5" i="71" s="1"/>
  <c r="E10" i="49"/>
  <c r="B6" i="49"/>
  <c r="E14" i="49"/>
  <c r="AF3" i="71"/>
  <c r="P24" i="43" s="1"/>
  <c r="B66" i="40" s="1"/>
  <c r="P23" i="43"/>
  <c r="B71" i="39" s="1"/>
  <c r="P21" i="43"/>
  <c r="P22" i="43"/>
  <c r="B13" i="49"/>
  <c r="C4" i="4" s="1"/>
  <c r="B4" i="62" s="1"/>
  <c r="B71" i="72" s="1"/>
  <c r="B4" i="49"/>
  <c r="B9" i="49"/>
  <c r="E22" i="49"/>
  <c r="E16" i="49"/>
  <c r="E11" i="49"/>
  <c r="B10" i="49"/>
  <c r="E6" i="49"/>
  <c r="E8" i="49"/>
  <c r="E5" i="49"/>
  <c r="B8" i="49"/>
  <c r="B5" i="49"/>
  <c r="E21" i="49"/>
  <c r="E4" i="49"/>
  <c r="B11" i="49"/>
  <c r="B14" i="49"/>
  <c r="B16" i="49"/>
  <c r="E13" i="49"/>
  <c r="E15" i="49"/>
  <c r="E9" i="49"/>
  <c r="B22" i="49"/>
  <c r="F64" i="67"/>
  <c r="J57" i="15"/>
  <c r="J55" i="15" s="1"/>
  <c r="J58" i="15" s="1"/>
  <c r="Q50" i="15" s="1"/>
  <c r="I54" i="15"/>
  <c r="L56" i="15"/>
  <c r="B10" i="70"/>
  <c r="F68" i="15"/>
  <c r="Q71" i="67"/>
  <c r="B13" i="70"/>
  <c r="E20" i="43"/>
  <c r="M7" i="67"/>
  <c r="F50" i="67"/>
  <c r="F51" i="67"/>
  <c r="C6" i="67"/>
  <c r="B11" i="70"/>
  <c r="I1" i="73"/>
  <c r="B39" i="1" s="1"/>
  <c r="C27" i="15"/>
  <c r="F51" i="15"/>
  <c r="F64" i="15"/>
  <c r="I54" i="67"/>
  <c r="J57" i="67"/>
  <c r="J55" i="67" s="1"/>
  <c r="J58" i="67" s="1"/>
  <c r="Q50" i="67" s="1"/>
  <c r="L56" i="67"/>
  <c r="C27" i="67"/>
  <c r="B12" i="70"/>
  <c r="B9" i="70"/>
  <c r="K1" i="73"/>
  <c r="D9" i="68"/>
  <c r="F43" i="67"/>
  <c r="F37" i="67"/>
  <c r="F13" i="67"/>
  <c r="M26" i="15"/>
  <c r="G1" i="73"/>
  <c r="F43" i="15"/>
  <c r="F38" i="67"/>
  <c r="F31" i="67"/>
  <c r="F9" i="15"/>
  <c r="L47" i="67"/>
  <c r="M8" i="15"/>
  <c r="M29" i="15"/>
  <c r="M23" i="15"/>
  <c r="J15" i="15"/>
  <c r="C16" i="15"/>
  <c r="M27" i="15"/>
  <c r="F42" i="67"/>
  <c r="C76" i="15"/>
  <c r="F38" i="15"/>
  <c r="M22" i="67"/>
  <c r="F40" i="67"/>
  <c r="F7" i="15"/>
  <c r="M8" i="67"/>
  <c r="M29" i="67"/>
  <c r="L47" i="15"/>
  <c r="M27" i="67"/>
  <c r="F37" i="15"/>
  <c r="M6" i="15"/>
  <c r="F59" i="67"/>
  <c r="E399" i="3" l="1"/>
  <c r="F31" i="6"/>
  <c r="F7" i="35"/>
  <c r="AC36" i="33"/>
  <c r="M7" i="15"/>
  <c r="F50" i="15"/>
  <c r="C49" i="15" s="1"/>
  <c r="F66" i="15"/>
  <c r="F70" i="67"/>
  <c r="L59" i="67"/>
  <c r="Q61" i="67" s="1"/>
  <c r="N59" i="67"/>
  <c r="M59" i="67"/>
  <c r="L58" i="67"/>
  <c r="Q60" i="67" s="1"/>
  <c r="F65" i="15"/>
  <c r="F66" i="67"/>
  <c r="L59" i="15"/>
  <c r="Q74" i="15" s="1"/>
  <c r="L58" i="15"/>
  <c r="Q73" i="15" s="1"/>
  <c r="N59" i="15"/>
  <c r="M59" i="15"/>
  <c r="F65" i="67"/>
  <c r="Q71" i="15"/>
  <c r="F68" i="67"/>
  <c r="F71" i="15"/>
  <c r="F71" i="67"/>
  <c r="J7" i="37"/>
  <c r="H7" i="33"/>
  <c r="H7" i="34"/>
  <c r="F7" i="21"/>
  <c r="D64" i="71"/>
  <c r="C63" i="71"/>
  <c r="D63" i="71" s="1"/>
  <c r="D36" i="71"/>
  <c r="C37" i="71"/>
  <c r="AC36" i="35"/>
  <c r="W36" i="35"/>
  <c r="AA34" i="35"/>
  <c r="S34" i="35"/>
  <c r="AA9" i="33"/>
  <c r="S9" i="33"/>
  <c r="W29" i="35"/>
  <c r="AC29" i="35"/>
  <c r="AC37" i="34"/>
  <c r="W37" i="34"/>
  <c r="AA37" i="34"/>
  <c r="S37" i="34"/>
  <c r="J6" i="67"/>
  <c r="AC27" i="33"/>
  <c r="D56" i="71"/>
  <c r="C55" i="71"/>
  <c r="D55" i="71" s="1"/>
  <c r="V13" i="71"/>
  <c r="E12" i="71"/>
  <c r="E11" i="71" s="1"/>
  <c r="I21" i="66"/>
  <c r="D1" i="66"/>
  <c r="E10" i="66" s="1"/>
  <c r="AZ458" i="3"/>
  <c r="AZ451" i="3"/>
  <c r="AZ438" i="3"/>
  <c r="S44" i="39"/>
  <c r="AA44" i="39"/>
  <c r="U34" i="35"/>
  <c r="AB34" i="35"/>
  <c r="U12" i="33"/>
  <c r="AB12" i="33"/>
  <c r="E185" i="3"/>
  <c r="E439" i="3"/>
  <c r="K4" i="4"/>
  <c r="B46" i="48" s="1"/>
  <c r="B4" i="72" s="1"/>
  <c r="E135" i="3"/>
  <c r="E216" i="3"/>
  <c r="E380" i="3"/>
  <c r="E533" i="3"/>
  <c r="E526" i="3"/>
  <c r="AB36" i="33"/>
  <c r="U36" i="33"/>
  <c r="AA36" i="33"/>
  <c r="S36" i="33"/>
  <c r="AA27" i="33"/>
  <c r="S27" i="33"/>
  <c r="AB27" i="33"/>
  <c r="U27" i="33"/>
  <c r="E561" i="3"/>
  <c r="E124" i="3"/>
  <c r="E347" i="3"/>
  <c r="E213" i="3"/>
  <c r="E538" i="3"/>
  <c r="AR6" i="3"/>
  <c r="E270" i="3"/>
  <c r="E280" i="3"/>
  <c r="AA6" i="3"/>
  <c r="E322" i="3"/>
  <c r="E302" i="3"/>
  <c r="E304" i="3"/>
  <c r="E64" i="39"/>
  <c r="E59" i="40"/>
  <c r="E58" i="40"/>
  <c r="E63" i="39"/>
  <c r="E290" i="3"/>
  <c r="E61" i="3"/>
  <c r="E169" i="3"/>
  <c r="E298" i="3"/>
  <c r="E321" i="3"/>
  <c r="E338" i="3"/>
  <c r="E418" i="3"/>
  <c r="E506" i="3"/>
  <c r="E523" i="3"/>
  <c r="S6" i="3"/>
  <c r="E390" i="3"/>
  <c r="E293" i="3"/>
  <c r="E246" i="3"/>
  <c r="E336" i="3"/>
  <c r="X6" i="3"/>
  <c r="E583" i="3"/>
  <c r="AJ6" i="3"/>
  <c r="E268" i="3"/>
  <c r="E217" i="3"/>
  <c r="E17" i="3"/>
  <c r="E565" i="3"/>
  <c r="E237" i="3"/>
  <c r="O8" i="1"/>
  <c r="P8" i="1" s="1"/>
  <c r="AC26" i="35"/>
  <c r="W26" i="35"/>
  <c r="AA26" i="35"/>
  <c r="S26" i="35"/>
  <c r="AB26" i="35"/>
  <c r="U26" i="35"/>
  <c r="J7" i="36"/>
  <c r="S9" i="34"/>
  <c r="AA9" i="34"/>
  <c r="F11" i="80"/>
  <c r="M11" i="80"/>
  <c r="E91"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N6" i="3"/>
  <c r="E282" i="3"/>
  <c r="E553" i="3"/>
  <c r="E366" i="3"/>
  <c r="E125" i="3"/>
  <c r="E503" i="3"/>
  <c r="E361" i="3"/>
  <c r="E183" i="3"/>
  <c r="E528" i="3"/>
  <c r="I3" i="6"/>
  <c r="E328" i="3"/>
  <c r="E508" i="3"/>
  <c r="E426" i="3"/>
  <c r="E305" i="3"/>
  <c r="E153" i="3"/>
  <c r="E343" i="3"/>
  <c r="E501" i="3"/>
  <c r="E530" i="3"/>
  <c r="E319" i="3"/>
  <c r="E175" i="3"/>
  <c r="E53" i="3"/>
  <c r="E535" i="3"/>
  <c r="E550" i="3"/>
  <c r="E445" i="3"/>
  <c r="E260" i="3"/>
  <c r="E172" i="3"/>
  <c r="E395" i="3"/>
  <c r="E563" i="3"/>
  <c r="E415" i="3"/>
  <c r="E278" i="3"/>
  <c r="E114" i="3"/>
  <c r="E69" i="3"/>
  <c r="I4" i="6"/>
  <c r="G3" i="43" s="1"/>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239" i="3"/>
  <c r="E516" i="3"/>
  <c r="E569" i="3"/>
  <c r="E396" i="3"/>
  <c r="E229" i="3"/>
  <c r="E151" i="3"/>
  <c r="E397" i="3"/>
  <c r="E568" i="3"/>
  <c r="I6" i="3"/>
  <c r="E536" i="3"/>
  <c r="E549" i="3"/>
  <c r="E453" i="3"/>
  <c r="E368" i="3"/>
  <c r="E244" i="3"/>
  <c r="E196" i="3"/>
  <c r="E156" i="3"/>
  <c r="E14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579" i="3"/>
  <c r="E511" i="3"/>
  <c r="E236" i="3"/>
  <c r="E207" i="3"/>
  <c r="E145" i="3"/>
  <c r="E379" i="3"/>
  <c r="U6" i="3"/>
  <c r="E411" i="3"/>
  <c r="E548" i="3"/>
  <c r="E424" i="3"/>
  <c r="E465" i="3"/>
  <c r="E344" i="3"/>
  <c r="E587" i="3"/>
  <c r="AE6" i="3"/>
  <c r="E577" i="3"/>
  <c r="E450" i="3"/>
  <c r="E471" i="3"/>
  <c r="E433" i="3"/>
  <c r="E475" i="3"/>
  <c r="E72" i="3"/>
  <c r="E54" i="3"/>
  <c r="E111" i="3"/>
  <c r="E203" i="3"/>
  <c r="E171" i="3"/>
  <c r="E256" i="3"/>
  <c r="E214" i="3"/>
  <c r="E274" i="3"/>
  <c r="E315" i="3"/>
  <c r="E394" i="3"/>
  <c r="E362" i="3"/>
  <c r="E580" i="3"/>
  <c r="E74" i="3"/>
  <c r="E32" i="3"/>
  <c r="E409" i="3"/>
  <c r="E455" i="3"/>
  <c r="E38" i="3"/>
  <c r="E170" i="3"/>
  <c r="E194" i="3"/>
  <c r="E219" i="3"/>
  <c r="E324" i="3"/>
  <c r="E383" i="3"/>
  <c r="E342" i="3"/>
  <c r="E522" i="3"/>
  <c r="E52" i="3"/>
  <c r="E36" i="3"/>
  <c r="E112" i="3"/>
  <c r="E123" i="3"/>
  <c r="E232" i="3"/>
  <c r="E251" i="3"/>
  <c r="E370" i="3"/>
  <c r="AF6" i="3"/>
  <c r="E50" i="3"/>
  <c r="E20" i="3"/>
  <c r="E62" i="3"/>
  <c r="E176" i="3"/>
  <c r="E287" i="3"/>
  <c r="E308" i="3"/>
  <c r="E326" i="3"/>
  <c r="E22" i="3"/>
  <c r="E83" i="3"/>
  <c r="E509" i="3"/>
  <c r="E431" i="3"/>
  <c r="E201" i="3"/>
  <c r="E314" i="3"/>
  <c r="E16" i="3"/>
  <c r="E434" i="3"/>
  <c r="E296" i="3"/>
  <c r="E136" i="3"/>
  <c r="E269" i="3"/>
  <c r="E89" i="3"/>
  <c r="E252" i="3"/>
  <c r="E204" i="3"/>
  <c r="E164" i="3"/>
  <c r="E327" i="3"/>
  <c r="E576" i="3"/>
  <c r="Z6" i="3"/>
  <c r="AG6" i="3"/>
  <c r="AO6" i="3"/>
  <c r="E448" i="3"/>
  <c r="E485" i="3"/>
  <c r="P6"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247" i="3"/>
  <c r="AK6" i="3"/>
  <c r="E306" i="3"/>
  <c r="E262" i="3"/>
  <c r="E122" i="3"/>
  <c r="E271" i="3"/>
  <c r="E107" i="3"/>
  <c r="E585" i="3"/>
  <c r="E515" i="3"/>
  <c r="E478" i="3"/>
  <c r="E406" i="3"/>
  <c r="E438" i="3"/>
  <c r="E457" i="3"/>
  <c r="E288" i="3"/>
  <c r="E562" i="3"/>
  <c r="W6" i="3"/>
  <c r="E571" i="3"/>
  <c r="E537" i="3"/>
  <c r="E429" i="3"/>
  <c r="E468" i="3"/>
  <c r="E496" i="3"/>
  <c r="E454" i="3"/>
  <c r="E55" i="3"/>
  <c r="E106" i="3"/>
  <c r="E73" i="3"/>
  <c r="E146" i="3"/>
  <c r="E168" i="3"/>
  <c r="E150" i="3"/>
  <c r="E208" i="3"/>
  <c r="E279" i="3"/>
  <c r="E257" i="3"/>
  <c r="E351" i="3"/>
  <c r="E357" i="3"/>
  <c r="E318" i="3"/>
  <c r="E14" i="3"/>
  <c r="E31" i="3"/>
  <c r="E93" i="3"/>
  <c r="E75" i="3"/>
  <c r="E473" i="3"/>
  <c r="E15" i="3"/>
  <c r="E79" i="3"/>
  <c r="E100" i="3"/>
  <c r="E137" i="3"/>
  <c r="E234" i="3"/>
  <c r="E299" i="3"/>
  <c r="E339" i="3"/>
  <c r="E325" i="3"/>
  <c r="E392" i="3"/>
  <c r="AQ6" i="3"/>
  <c r="E35" i="3"/>
  <c r="E86" i="3"/>
  <c r="E34" i="3"/>
  <c r="E49" i="3"/>
  <c r="E206" i="3"/>
  <c r="E147" i="3"/>
  <c r="E289" i="3"/>
  <c r="E340" i="3"/>
  <c r="E364" i="3"/>
  <c r="E102" i="3"/>
  <c r="E80" i="3"/>
  <c r="E113" i="3"/>
  <c r="E158" i="3"/>
  <c r="E218" i="3"/>
  <c r="E265" i="3"/>
  <c r="E365" i="3"/>
  <c r="E524" i="3"/>
  <c r="E101" i="3"/>
  <c r="C9" i="68"/>
  <c r="F1" i="15"/>
  <c r="Q52" i="15"/>
  <c r="Q52" i="67"/>
  <c r="F1" i="67"/>
  <c r="F11" i="79"/>
  <c r="M11" i="79"/>
  <c r="F7" i="36"/>
  <c r="J7" i="33"/>
  <c r="W7" i="33" s="1"/>
  <c r="F7" i="33"/>
  <c r="AA7" i="33" s="1"/>
  <c r="R48" i="33" s="1"/>
  <c r="J7" i="34"/>
  <c r="AC7" i="34" s="1"/>
  <c r="F7" i="34"/>
  <c r="AA7" i="34" s="1"/>
  <c r="H7" i="21"/>
  <c r="C48" i="11"/>
  <c r="C30" i="11"/>
  <c r="C30" i="68"/>
  <c r="C48" i="68"/>
  <c r="C48" i="69"/>
  <c r="C30" i="69"/>
  <c r="C35" i="69"/>
  <c r="AC6" i="3"/>
  <c r="E57" i="40"/>
  <c r="E62" i="39"/>
  <c r="E66" i="39" s="1"/>
  <c r="E16" i="6"/>
  <c r="F27" i="69"/>
  <c r="C29" i="69" s="1"/>
  <c r="D27" i="69" s="1"/>
  <c r="F27" i="11"/>
  <c r="B38" i="72"/>
  <c r="D20" i="53"/>
  <c r="B40" i="72" s="1"/>
  <c r="J10" i="40"/>
  <c r="AC10" i="40" s="1"/>
  <c r="H10" i="39"/>
  <c r="AB10" i="39" s="1"/>
  <c r="F10" i="39"/>
  <c r="AA10" i="39" s="1"/>
  <c r="F10" i="40"/>
  <c r="AA10" i="40" s="1"/>
  <c r="J10" i="39"/>
  <c r="W10" i="39" s="1"/>
  <c r="H7" i="36"/>
  <c r="AB7" i="36" s="1"/>
  <c r="T36" i="36" s="1"/>
  <c r="G36" i="36" s="1"/>
  <c r="H7" i="35"/>
  <c r="AB7" i="35" s="1"/>
  <c r="T38" i="35" s="1"/>
  <c r="G38" i="35" s="1"/>
  <c r="J7" i="21"/>
  <c r="W7" i="21" s="1"/>
  <c r="W10" i="40"/>
  <c r="D70" i="39"/>
  <c r="E68" i="39"/>
  <c r="U10" i="40"/>
  <c r="AB10" i="40"/>
  <c r="C7" i="71"/>
  <c r="D8" i="71"/>
  <c r="D16" i="71"/>
  <c r="C17" i="71"/>
  <c r="D24" i="71"/>
  <c r="C25" i="71"/>
  <c r="T45" i="71"/>
  <c r="D45" i="71"/>
  <c r="AZ551" i="3"/>
  <c r="BA5" i="3"/>
  <c r="E27" i="6" s="1"/>
  <c r="W39" i="40"/>
  <c r="AC39" i="40"/>
  <c r="AZ550" i="3"/>
  <c r="BL5" i="3"/>
  <c r="AC38" i="40"/>
  <c r="W38" i="40"/>
  <c r="S7" i="36"/>
  <c r="AA7" i="36"/>
  <c r="R36" i="36" s="1"/>
  <c r="U7" i="37"/>
  <c r="AB7" i="37"/>
  <c r="T42" i="37" s="1"/>
  <c r="G42" i="37" s="1"/>
  <c r="AC7" i="37"/>
  <c r="V42" i="37" s="1"/>
  <c r="I42" i="37" s="1"/>
  <c r="W7" i="37"/>
  <c r="AA7" i="35"/>
  <c r="R38" i="35" s="1"/>
  <c r="S7" i="35"/>
  <c r="D65" i="40"/>
  <c r="E63" i="40"/>
  <c r="S7" i="34"/>
  <c r="U7" i="21"/>
  <c r="AB7" i="21"/>
  <c r="T48" i="21" s="1"/>
  <c r="G48" i="21" s="1"/>
  <c r="N16" i="1"/>
  <c r="L16" i="1"/>
  <c r="B51" i="71"/>
  <c r="N52" i="71"/>
  <c r="D20" i="71"/>
  <c r="C21" i="71"/>
  <c r="AZ5" i="3"/>
  <c r="AB39" i="40"/>
  <c r="U39" i="40"/>
  <c r="U38" i="40"/>
  <c r="AB38" i="40"/>
  <c r="AA38" i="40"/>
  <c r="S38" i="40"/>
  <c r="K15" i="1"/>
  <c r="K16" i="1" s="1"/>
  <c r="E30" i="6"/>
  <c r="P9" i="1"/>
  <c r="P16" i="1" s="1"/>
  <c r="C11" i="12" s="1"/>
  <c r="W7" i="36"/>
  <c r="AC7" i="36"/>
  <c r="V36" i="36" s="1"/>
  <c r="I36" i="36" s="1"/>
  <c r="S7" i="37"/>
  <c r="AA7" i="37"/>
  <c r="R42" i="37" s="1"/>
  <c r="AC7" i="35"/>
  <c r="V38" i="35" s="1"/>
  <c r="I38" i="35" s="1"/>
  <c r="W7" i="35"/>
  <c r="AB7" i="33"/>
  <c r="T48" i="33" s="1"/>
  <c r="G48" i="33" s="1"/>
  <c r="U7" i="33"/>
  <c r="U7" i="34"/>
  <c r="AB7" i="34"/>
  <c r="S7" i="21"/>
  <c r="AA7" i="21"/>
  <c r="R48" i="21" s="1"/>
  <c r="P25" i="43"/>
  <c r="C49" i="67"/>
  <c r="B40" i="1"/>
  <c r="M11" i="15"/>
  <c r="F11" i="67"/>
  <c r="F11" i="15"/>
  <c r="M11" i="67"/>
  <c r="J10" i="67" s="1"/>
  <c r="P17" i="43"/>
  <c r="M17" i="43"/>
  <c r="N17" i="43"/>
  <c r="O17" i="43"/>
  <c r="Q61" i="15"/>
  <c r="F27" i="68"/>
  <c r="M17" i="67"/>
  <c r="F16" i="80"/>
  <c r="L48" i="79"/>
  <c r="F42" i="79"/>
  <c r="M23" i="80"/>
  <c r="M9" i="80"/>
  <c r="F38" i="79"/>
  <c r="J15" i="79"/>
  <c r="F9" i="80"/>
  <c r="M27" i="80"/>
  <c r="F36" i="79"/>
  <c r="F59" i="15"/>
  <c r="F6" i="80"/>
  <c r="C76" i="79"/>
  <c r="M24" i="79"/>
  <c r="F13" i="80"/>
  <c r="F43" i="80"/>
  <c r="F13" i="79"/>
  <c r="C16" i="67"/>
  <c r="C76" i="80"/>
  <c r="M26" i="79"/>
  <c r="M23" i="79"/>
  <c r="F40" i="80"/>
  <c r="F36" i="80"/>
  <c r="F26" i="79"/>
  <c r="F7" i="79"/>
  <c r="M24" i="80"/>
  <c r="M29" i="80"/>
  <c r="M28" i="79"/>
  <c r="AE6" i="1"/>
  <c r="L47" i="80"/>
  <c r="M8" i="79"/>
  <c r="M27" i="79"/>
  <c r="F8" i="80"/>
  <c r="F9" i="79"/>
  <c r="M17" i="15"/>
  <c r="L47" i="79"/>
  <c r="F38" i="80"/>
  <c r="M22" i="80"/>
  <c r="M8" i="80"/>
  <c r="F16" i="79"/>
  <c r="F42" i="80"/>
  <c r="F37" i="79"/>
  <c r="L48" i="80"/>
  <c r="M6" i="79"/>
  <c r="F37" i="80"/>
  <c r="F40" i="79"/>
  <c r="M26" i="80"/>
  <c r="F7" i="80"/>
  <c r="M6" i="80"/>
  <c r="F8" i="79"/>
  <c r="M22" i="79"/>
  <c r="F26" i="80"/>
  <c r="F43" i="79"/>
  <c r="M28" i="80"/>
  <c r="M29" i="79"/>
  <c r="M9" i="79"/>
  <c r="J15" i="80"/>
  <c r="F6" i="79"/>
  <c r="Q73" i="67" l="1"/>
  <c r="O16" i="1"/>
  <c r="Q74" i="67"/>
  <c r="Q60" i="15"/>
  <c r="J5" i="67"/>
  <c r="J24" i="67" s="1"/>
  <c r="C6" i="79"/>
  <c r="F65" i="79"/>
  <c r="F66" i="79"/>
  <c r="F68" i="79"/>
  <c r="Q71" i="79"/>
  <c r="F50" i="80"/>
  <c r="M7" i="80"/>
  <c r="Q71" i="80"/>
  <c r="C6" i="80"/>
  <c r="C10" i="80" s="1"/>
  <c r="C5" i="80" s="1"/>
  <c r="F51" i="80"/>
  <c r="C49" i="80" s="1"/>
  <c r="F66" i="80"/>
  <c r="F65" i="80"/>
  <c r="F50" i="79"/>
  <c r="M7" i="79"/>
  <c r="J6" i="79" s="1"/>
  <c r="J10" i="79" s="1"/>
  <c r="J5" i="79" s="1"/>
  <c r="J24" i="79" s="1"/>
  <c r="F71" i="79"/>
  <c r="F51" i="79"/>
  <c r="F64" i="79"/>
  <c r="C27" i="79"/>
  <c r="N59" i="79"/>
  <c r="L58" i="79"/>
  <c r="L59" i="79"/>
  <c r="M59" i="79"/>
  <c r="J53" i="79"/>
  <c r="I54" i="79"/>
  <c r="J57" i="79"/>
  <c r="J55" i="79" s="1"/>
  <c r="J58" i="79" s="1"/>
  <c r="Q50" i="79" s="1"/>
  <c r="F71" i="80"/>
  <c r="L59" i="80"/>
  <c r="M59" i="80"/>
  <c r="N59" i="80"/>
  <c r="L58" i="80"/>
  <c r="F64" i="80"/>
  <c r="C27" i="80"/>
  <c r="J6" i="80"/>
  <c r="J10" i="80" s="1"/>
  <c r="J5" i="80" s="1"/>
  <c r="J26" i="80" s="1"/>
  <c r="L56" i="80"/>
  <c r="L57" i="80"/>
  <c r="L60" i="80"/>
  <c r="I54" i="80"/>
  <c r="J57" i="80"/>
  <c r="J55" i="80" s="1"/>
  <c r="J58" i="80" s="1"/>
  <c r="Q50" i="80" s="1"/>
  <c r="J53" i="80"/>
  <c r="J59" i="80"/>
  <c r="J60" i="80"/>
  <c r="Q48" i="80" s="1"/>
  <c r="F68" i="80"/>
  <c r="D37" i="71"/>
  <c r="T37" i="71"/>
  <c r="J6" i="15"/>
  <c r="J10" i="15" s="1"/>
  <c r="J5" i="15" s="1"/>
  <c r="U7" i="35"/>
  <c r="AC7" i="33"/>
  <c r="V48" i="33" s="1"/>
  <c r="I48" i="33" s="1"/>
  <c r="G53" i="33" s="1"/>
  <c r="H53" i="33" s="1"/>
  <c r="S7" i="33"/>
  <c r="U7" i="36"/>
  <c r="W7" i="34"/>
  <c r="F24" i="79"/>
  <c r="C24" i="79" s="1"/>
  <c r="F24" i="80"/>
  <c r="C53" i="80"/>
  <c r="H38" i="39"/>
  <c r="J38" i="39"/>
  <c r="F38" i="39"/>
  <c r="G101" i="43"/>
  <c r="L101" i="43"/>
  <c r="M101" i="43"/>
  <c r="E101" i="43"/>
  <c r="K101" i="43"/>
  <c r="N101" i="43"/>
  <c r="C101" i="43"/>
  <c r="H22" i="43"/>
  <c r="G22" i="43"/>
  <c r="AH11" i="43"/>
  <c r="AH13" i="43" s="1"/>
  <c r="AD11" i="43"/>
  <c r="AD13" i="43" s="1"/>
  <c r="Z11" i="43"/>
  <c r="Z13" i="43" s="1"/>
  <c r="AI11" i="43"/>
  <c r="AI13" i="43" s="1"/>
  <c r="AE11" i="43"/>
  <c r="AE13" i="43" s="1"/>
  <c r="AA11" i="43"/>
  <c r="AA13" i="43" s="1"/>
  <c r="J22" i="43"/>
  <c r="B113" i="43"/>
  <c r="E22" i="43"/>
  <c r="H101" i="43"/>
  <c r="AJ11" i="43"/>
  <c r="AJ13" i="43" s="1"/>
  <c r="AF11" i="43"/>
  <c r="AF13" i="43" s="1"/>
  <c r="AB11" i="43"/>
  <c r="AB13" i="43" s="1"/>
  <c r="Z7" i="43"/>
  <c r="AG11" i="43"/>
  <c r="AG13" i="43" s="1"/>
  <c r="AC11" i="43"/>
  <c r="AC13" i="43" s="1"/>
  <c r="Y11" i="43"/>
  <c r="Y13" i="43" s="1"/>
  <c r="J101" i="43"/>
  <c r="D101" i="43"/>
  <c r="I101" i="43"/>
  <c r="F22" i="43"/>
  <c r="F101" i="43"/>
  <c r="N104" i="46"/>
  <c r="C47" i="68"/>
  <c r="D45" i="68" s="1"/>
  <c r="C29" i="68"/>
  <c r="D27" i="68" s="1"/>
  <c r="C53" i="79"/>
  <c r="C10" i="79"/>
  <c r="AC7" i="21"/>
  <c r="V48" i="21" s="1"/>
  <c r="I48" i="21" s="1"/>
  <c r="F34" i="11"/>
  <c r="F11" i="12"/>
  <c r="C23" i="12" s="1"/>
  <c r="E6" i="3"/>
  <c r="C29" i="11"/>
  <c r="D27" i="11" s="1"/>
  <c r="C47" i="11"/>
  <c r="D45" i="11" s="1"/>
  <c r="AC10" i="39"/>
  <c r="C47" i="69"/>
  <c r="D45" i="69" s="1"/>
  <c r="S10" i="39"/>
  <c r="U10" i="39"/>
  <c r="S10" i="40"/>
  <c r="F68" i="39"/>
  <c r="E70" i="39"/>
  <c r="AY6" i="3"/>
  <c r="E3" i="6"/>
  <c r="N50" i="71"/>
  <c r="N51" i="71"/>
  <c r="G52" i="21"/>
  <c r="H52" i="21" s="1"/>
  <c r="G53" i="21"/>
  <c r="H53" i="21" s="1"/>
  <c r="E65" i="40"/>
  <c r="F63" i="40"/>
  <c r="E48" i="33"/>
  <c r="G46" i="37"/>
  <c r="H46" i="37" s="1"/>
  <c r="G47" i="37"/>
  <c r="H47" i="37" s="1"/>
  <c r="E36" i="36"/>
  <c r="R37" i="36"/>
  <c r="E31" i="6"/>
  <c r="I32" i="77" s="1"/>
  <c r="K21" i="6"/>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17" i="71"/>
  <c r="D17" i="71"/>
  <c r="E48" i="21"/>
  <c r="R49" i="21"/>
  <c r="G52" i="33"/>
  <c r="H52" i="33" s="1"/>
  <c r="G42" i="35"/>
  <c r="H42" i="35" s="1"/>
  <c r="G43" i="35"/>
  <c r="H43" i="35" s="1"/>
  <c r="I42" i="35"/>
  <c r="J42" i="35" s="1"/>
  <c r="G40" i="36"/>
  <c r="H40" i="36" s="1"/>
  <c r="G41" i="36"/>
  <c r="H41" i="36" s="1"/>
  <c r="I52" i="21"/>
  <c r="J52" i="21" s="1"/>
  <c r="E42" i="37"/>
  <c r="I47" i="37" s="1"/>
  <c r="J47" i="37" s="1"/>
  <c r="R43" i="37"/>
  <c r="I41" i="36"/>
  <c r="J41" i="36" s="1"/>
  <c r="I40" i="36"/>
  <c r="J40" i="36" s="1"/>
  <c r="C15" i="12"/>
  <c r="C12" i="12"/>
  <c r="T21" i="71"/>
  <c r="D21" i="71"/>
  <c r="F50" i="11"/>
  <c r="F50" i="68"/>
  <c r="F50" i="69"/>
  <c r="E38" i="35"/>
  <c r="R39" i="35"/>
  <c r="I46" i="37"/>
  <c r="J46" i="37" s="1"/>
  <c r="D7" i="71"/>
  <c r="C6" i="71"/>
  <c r="C53" i="67"/>
  <c r="C48" i="67" s="1"/>
  <c r="C10" i="67"/>
  <c r="C5" i="67" s="1"/>
  <c r="C53" i="15"/>
  <c r="C48" i="15" s="1"/>
  <c r="F24" i="67"/>
  <c r="C24" i="67" s="1"/>
  <c r="F22" i="68"/>
  <c r="F22" i="11"/>
  <c r="F22" i="69"/>
  <c r="F25" i="12"/>
  <c r="F24" i="15"/>
  <c r="C24" i="15" s="1"/>
  <c r="F34" i="68"/>
  <c r="F31" i="79"/>
  <c r="F31" i="80"/>
  <c r="F59" i="80"/>
  <c r="M17" i="80"/>
  <c r="F59" i="79"/>
  <c r="C16" i="80"/>
  <c r="F41" i="15"/>
  <c r="M17" i="79"/>
  <c r="C16" i="79"/>
  <c r="C17" i="15"/>
  <c r="J26" i="67" l="1"/>
  <c r="J18" i="67"/>
  <c r="C48" i="80"/>
  <c r="C66" i="80" s="1"/>
  <c r="C5" i="79"/>
  <c r="C38" i="79" s="1"/>
  <c r="J24" i="15"/>
  <c r="J26" i="15"/>
  <c r="J29" i="15" s="1"/>
  <c r="J18" i="15"/>
  <c r="I53" i="21"/>
  <c r="J53" i="21" s="1"/>
  <c r="L46" i="80"/>
  <c r="Q73" i="80"/>
  <c r="Q60" i="80"/>
  <c r="Q60" i="79"/>
  <c r="Q73" i="79"/>
  <c r="C49" i="79"/>
  <c r="C48" i="79" s="1"/>
  <c r="Q52" i="80"/>
  <c r="F1" i="80"/>
  <c r="Q57" i="80"/>
  <c r="Q66" i="80"/>
  <c r="Q74" i="80"/>
  <c r="Q61" i="80"/>
  <c r="L56" i="79"/>
  <c r="Q52" i="79"/>
  <c r="F1" i="79"/>
  <c r="Q61" i="79"/>
  <c r="Q74" i="79"/>
  <c r="F69" i="15"/>
  <c r="I52" i="33"/>
  <c r="J52" i="33" s="1"/>
  <c r="J24" i="80"/>
  <c r="J18" i="80"/>
  <c r="I53" i="33"/>
  <c r="J53" i="33" s="1"/>
  <c r="R49" i="33"/>
  <c r="C48" i="33" s="1"/>
  <c r="C38" i="80"/>
  <c r="C33" i="80"/>
  <c r="C32" i="80"/>
  <c r="C24" i="80"/>
  <c r="M21" i="6"/>
  <c r="I21" i="6" s="1"/>
  <c r="S8" i="1"/>
  <c r="J18" i="79"/>
  <c r="J26" i="79"/>
  <c r="D105" i="43"/>
  <c r="D102" i="43"/>
  <c r="D103" i="43"/>
  <c r="D107" i="43"/>
  <c r="D106" i="43"/>
  <c r="D109" i="43"/>
  <c r="D104" i="43"/>
  <c r="D22" i="43"/>
  <c r="E6" i="70"/>
  <c r="F107" i="43"/>
  <c r="F105" i="43"/>
  <c r="F102" i="43"/>
  <c r="F104" i="43"/>
  <c r="F106" i="43"/>
  <c r="F109" i="43"/>
  <c r="F103" i="43"/>
  <c r="I107" i="43"/>
  <c r="I109" i="43"/>
  <c r="I106" i="43"/>
  <c r="I104" i="43"/>
  <c r="I105" i="43"/>
  <c r="I102" i="43"/>
  <c r="I103" i="43"/>
  <c r="J103" i="43"/>
  <c r="J105" i="43"/>
  <c r="J102" i="43"/>
  <c r="J104" i="43"/>
  <c r="J109" i="43"/>
  <c r="J107" i="43"/>
  <c r="J106" i="43"/>
  <c r="H107" i="43"/>
  <c r="H105" i="43"/>
  <c r="H102" i="43"/>
  <c r="H104" i="43"/>
  <c r="H106" i="43"/>
  <c r="H109" i="43"/>
  <c r="H103" i="43"/>
  <c r="D117" i="43"/>
  <c r="E117" i="43" s="1"/>
  <c r="F117" i="43" s="1"/>
  <c r="G117" i="43" s="1"/>
  <c r="H117" i="43" s="1"/>
  <c r="B115" i="43"/>
  <c r="C115" i="43" s="1"/>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G118" i="43"/>
  <c r="H118" i="43" s="1"/>
  <c r="I116" i="43"/>
  <c r="J116" i="43" s="1"/>
  <c r="K116" i="43" s="1"/>
  <c r="L116" i="43" s="1"/>
  <c r="M116" i="43" s="1"/>
  <c r="I118" i="43"/>
  <c r="J118" i="43" s="1"/>
  <c r="K118" i="43" s="1"/>
  <c r="L118" i="43" s="1"/>
  <c r="M118" i="43" s="1"/>
  <c r="B116" i="43"/>
  <c r="C116" i="43" s="1"/>
  <c r="B117" i="43"/>
  <c r="C117" i="43" s="1"/>
  <c r="D118" i="43"/>
  <c r="E118" i="43" s="1"/>
  <c r="F118" i="43" s="1"/>
  <c r="B118" i="43"/>
  <c r="C118" i="43" s="1"/>
  <c r="C104" i="43"/>
  <c r="C105" i="43"/>
  <c r="C103" i="43"/>
  <c r="C109" i="43"/>
  <c r="C106" i="43"/>
  <c r="C107" i="43"/>
  <c r="C102" i="43"/>
  <c r="K103" i="43"/>
  <c r="K104" i="43"/>
  <c r="K109" i="43"/>
  <c r="K106" i="43"/>
  <c r="K107" i="43"/>
  <c r="K105" i="43"/>
  <c r="K102" i="43"/>
  <c r="M107" i="43"/>
  <c r="M109" i="43"/>
  <c r="M106" i="43"/>
  <c r="M104" i="43"/>
  <c r="M105" i="43"/>
  <c r="M102" i="43"/>
  <c r="M103" i="43"/>
  <c r="G103" i="43"/>
  <c r="G102" i="43"/>
  <c r="G104" i="43"/>
  <c r="G105" i="43"/>
  <c r="G106" i="43"/>
  <c r="G107" i="43"/>
  <c r="G109" i="43"/>
  <c r="W38" i="39"/>
  <c r="AC38" i="39"/>
  <c r="N103" i="43"/>
  <c r="N104" i="43"/>
  <c r="N105" i="43"/>
  <c r="N102" i="43"/>
  <c r="N106" i="43"/>
  <c r="N109" i="43"/>
  <c r="N107" i="43"/>
  <c r="E104" i="43"/>
  <c r="E105" i="43"/>
  <c r="E106" i="43"/>
  <c r="E109" i="43"/>
  <c r="E107" i="43"/>
  <c r="E102" i="43"/>
  <c r="E103" i="43"/>
  <c r="L109" i="43"/>
  <c r="L107" i="43"/>
  <c r="L102" i="43"/>
  <c r="L104" i="43"/>
  <c r="L106" i="43"/>
  <c r="L103" i="43"/>
  <c r="L105" i="43"/>
  <c r="AA38" i="39"/>
  <c r="S38" i="39"/>
  <c r="AB38" i="39"/>
  <c r="U38" i="39"/>
  <c r="C36" i="11"/>
  <c r="C34" i="11"/>
  <c r="AQ6" i="1"/>
  <c r="T6" i="1"/>
  <c r="AR6" i="1"/>
  <c r="M20" i="6"/>
  <c r="I20" i="6" s="1"/>
  <c r="S7" i="1"/>
  <c r="G68" i="39"/>
  <c r="F70" i="39"/>
  <c r="C42" i="37"/>
  <c r="C43" i="37"/>
  <c r="E43" i="35"/>
  <c r="F43" i="35" s="1"/>
  <c r="E42" i="35"/>
  <c r="F42" i="35" s="1"/>
  <c r="E47" i="37"/>
  <c r="F47" i="37" s="1"/>
  <c r="E46" i="37"/>
  <c r="F46" i="37" s="1"/>
  <c r="I43" i="35"/>
  <c r="J43" i="35" s="1"/>
  <c r="C48" i="21"/>
  <c r="C49" i="21"/>
  <c r="K27" i="6"/>
  <c r="M19" i="6"/>
  <c r="E40" i="36"/>
  <c r="F40" i="36" s="1"/>
  <c r="E41" i="36"/>
  <c r="F41" i="36" s="1"/>
  <c r="E53" i="33"/>
  <c r="F53" i="33" s="1"/>
  <c r="E52" i="33"/>
  <c r="F52" i="33" s="1"/>
  <c r="D3" i="21"/>
  <c r="D19" i="11"/>
  <c r="C19" i="11" s="1"/>
  <c r="D37" i="11"/>
  <c r="C37" i="11" s="1"/>
  <c r="D14" i="12"/>
  <c r="M18" i="9"/>
  <c r="B118" i="9" s="1"/>
  <c r="B14" i="74" s="1"/>
  <c r="D3" i="34"/>
  <c r="D3" i="33"/>
  <c r="E6" i="6"/>
  <c r="C17" i="4"/>
  <c r="B4" i="52" s="1"/>
  <c r="B43" i="72" s="1"/>
  <c r="D3" i="37"/>
  <c r="C5" i="71"/>
  <c r="D5" i="71" s="1"/>
  <c r="D6" i="71"/>
  <c r="C38" i="35"/>
  <c r="C39" i="35"/>
  <c r="B2" i="35" s="1"/>
  <c r="E52" i="21"/>
  <c r="F52" i="21" s="1"/>
  <c r="E53" i="21"/>
  <c r="F53" i="21" s="1"/>
  <c r="C36" i="36"/>
  <c r="C37" i="36"/>
  <c r="B2" i="36" s="1"/>
  <c r="B3" i="36" s="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26" i="68"/>
  <c r="D22" i="68" s="1"/>
  <c r="C44" i="68"/>
  <c r="D41" i="68" s="1"/>
  <c r="C26" i="12"/>
  <c r="D25" i="12" s="1"/>
  <c r="C44" i="11"/>
  <c r="D41" i="11" s="1"/>
  <c r="C23" i="11"/>
  <c r="C26" i="11"/>
  <c r="D22" i="11" s="1"/>
  <c r="C24" i="11"/>
  <c r="C66" i="15"/>
  <c r="C60" i="15"/>
  <c r="C60" i="67"/>
  <c r="C66" i="67"/>
  <c r="C44" i="69"/>
  <c r="D41" i="69" s="1"/>
  <c r="C26" i="69"/>
  <c r="D22" i="69" s="1"/>
  <c r="C38" i="67"/>
  <c r="C32" i="67"/>
  <c r="C34" i="68"/>
  <c r="C36" i="68"/>
  <c r="AE7" i="1"/>
  <c r="F41" i="79"/>
  <c r="C14" i="15"/>
  <c r="C17" i="80"/>
  <c r="AE8" i="1"/>
  <c r="C19" i="83"/>
  <c r="C14" i="67"/>
  <c r="C17" i="67"/>
  <c r="C17" i="79"/>
  <c r="C60" i="80" l="1"/>
  <c r="C32" i="79"/>
  <c r="C49" i="33"/>
  <c r="F69" i="79"/>
  <c r="C60" i="79"/>
  <c r="C66" i="79"/>
  <c r="J29" i="79"/>
  <c r="E8" i="70"/>
  <c r="S20" i="6"/>
  <c r="L18" i="83"/>
  <c r="B16" i="74" s="1"/>
  <c r="S21" i="6"/>
  <c r="L18" i="82"/>
  <c r="B15" i="74" s="1"/>
  <c r="B1" i="74" s="1"/>
  <c r="C45" i="77" s="1"/>
  <c r="C102" i="83"/>
  <c r="B3" i="35"/>
  <c r="AR8" i="1"/>
  <c r="AQ8" i="1"/>
  <c r="T8" i="1"/>
  <c r="C18" i="15"/>
  <c r="C15" i="15"/>
  <c r="C18" i="67"/>
  <c r="C15" i="67"/>
  <c r="S16" i="1"/>
  <c r="E7" i="70"/>
  <c r="S2" i="43"/>
  <c r="S7" i="43"/>
  <c r="S4" i="43"/>
  <c r="C23" i="43"/>
  <c r="C21" i="43" s="1"/>
  <c r="S6" i="43"/>
  <c r="S5" i="43"/>
  <c r="S3" i="43"/>
  <c r="D113" i="43"/>
  <c r="C33" i="79"/>
  <c r="J59" i="79"/>
  <c r="J60" i="79" s="1"/>
  <c r="C35" i="11"/>
  <c r="C38" i="11"/>
  <c r="C38" i="68"/>
  <c r="C35" i="68"/>
  <c r="AR7" i="1"/>
  <c r="AQ7" i="1"/>
  <c r="T7" i="1"/>
  <c r="B2" i="33"/>
  <c r="B3" i="33" s="1"/>
  <c r="R24" i="31" s="1"/>
  <c r="G70" i="39"/>
  <c r="H68" i="39"/>
  <c r="M20" i="43"/>
  <c r="C19" i="43" s="1"/>
  <c r="D10" i="11"/>
  <c r="C10" i="11" s="1"/>
  <c r="D20" i="12"/>
  <c r="C20" i="12" s="1"/>
  <c r="D10" i="69"/>
  <c r="B2" i="37"/>
  <c r="B3" i="37" s="1"/>
  <c r="H20" i="6"/>
  <c r="D19" i="6"/>
  <c r="M19" i="9" s="1"/>
  <c r="C118" i="9" s="1"/>
  <c r="C14" i="74" s="1"/>
  <c r="D26" i="6"/>
  <c r="C18" i="4"/>
  <c r="D8" i="6"/>
  <c r="D23" i="6"/>
  <c r="D14" i="6"/>
  <c r="D5" i="6"/>
  <c r="D12" i="6"/>
  <c r="D11" i="6"/>
  <c r="D13" i="6"/>
  <c r="D28" i="6"/>
  <c r="E61" i="40"/>
  <c r="H23" i="6"/>
  <c r="H26" i="6"/>
  <c r="D25" i="6"/>
  <c r="D15" i="6"/>
  <c r="D22" i="6"/>
  <c r="D21" i="6"/>
  <c r="D24" i="6"/>
  <c r="D20" i="6"/>
  <c r="D6" i="6"/>
  <c r="D9" i="6"/>
  <c r="D10" i="6"/>
  <c r="D29" i="6"/>
  <c r="H25" i="6"/>
  <c r="H22" i="6"/>
  <c r="H21" i="6"/>
  <c r="H24" i="6"/>
  <c r="G65" i="40"/>
  <c r="H63" i="40"/>
  <c r="D17" i="12"/>
  <c r="C17" i="12" s="1"/>
  <c r="C14" i="12"/>
  <c r="C16" i="12" s="1"/>
  <c r="C20" i="11"/>
  <c r="C25" i="11" s="1"/>
  <c r="C22" i="11" s="1"/>
  <c r="M27" i="6"/>
  <c r="I19" i="6"/>
  <c r="L18" i="9" s="1"/>
  <c r="B2" i="21"/>
  <c r="B3" i="21" s="1"/>
  <c r="J59" i="15"/>
  <c r="J60" i="15" s="1"/>
  <c r="C33" i="67"/>
  <c r="J59" i="67"/>
  <c r="J60" i="67" s="1"/>
  <c r="D10" i="68"/>
  <c r="C14" i="79"/>
  <c r="F41" i="80"/>
  <c r="C14" i="80"/>
  <c r="F41" i="67"/>
  <c r="C20" i="83"/>
  <c r="J29" i="80" l="1"/>
  <c r="F69" i="80"/>
  <c r="F69" i="67"/>
  <c r="J29" i="67"/>
  <c r="E2" i="70"/>
  <c r="C18" i="80"/>
  <c r="C15" i="80"/>
  <c r="C7" i="74"/>
  <c r="C8" i="74"/>
  <c r="L19" i="83"/>
  <c r="M19" i="83"/>
  <c r="C118" i="83" s="1"/>
  <c r="M19" i="82"/>
  <c r="C118" i="82" s="1"/>
  <c r="L19" i="82"/>
  <c r="C15" i="74" s="1"/>
  <c r="S24" i="31"/>
  <c r="R28" i="31"/>
  <c r="S28" i="31" s="1"/>
  <c r="R27" i="31"/>
  <c r="S27" i="31" s="1"/>
  <c r="R26" i="31"/>
  <c r="S26" i="31" s="1"/>
  <c r="R25" i="31"/>
  <c r="S25" i="31" s="1"/>
  <c r="C103" i="83"/>
  <c r="C19" i="15"/>
  <c r="C20" i="15" s="1"/>
  <c r="C26" i="15" s="1"/>
  <c r="C19" i="67"/>
  <c r="C18" i="79"/>
  <c r="C15" i="79"/>
  <c r="T16" i="1"/>
  <c r="Q48" i="79"/>
  <c r="C33" i="11"/>
  <c r="C42" i="11" s="1"/>
  <c r="D16" i="6"/>
  <c r="D30" i="6"/>
  <c r="R20" i="6"/>
  <c r="R7" i="1" s="1"/>
  <c r="C28" i="11"/>
  <c r="C27" i="11" s="1"/>
  <c r="C31" i="11" s="1"/>
  <c r="H70" i="39"/>
  <c r="I68" i="39"/>
  <c r="S19" i="6"/>
  <c r="S27" i="6" s="1"/>
  <c r="I27" i="6"/>
  <c r="R24" i="6"/>
  <c r="R22" i="6"/>
  <c r="R25" i="6"/>
  <c r="R26" i="6"/>
  <c r="C10" i="68"/>
  <c r="C8" i="68" s="1"/>
  <c r="D19" i="68"/>
  <c r="H65" i="40"/>
  <c r="I63" i="40"/>
  <c r="R21" i="6"/>
  <c r="R8" i="1" s="1"/>
  <c r="H19" i="6"/>
  <c r="H27" i="6" s="1"/>
  <c r="R23" i="6"/>
  <c r="A7" i="51"/>
  <c r="B7" i="72" s="1"/>
  <c r="C4" i="52"/>
  <c r="B45" i="72" s="1"/>
  <c r="A10" i="51"/>
  <c r="B9" i="72" s="1"/>
  <c r="D27" i="6"/>
  <c r="C10" i="69"/>
  <c r="C8" i="69" s="1"/>
  <c r="D19"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Q48" i="67"/>
  <c r="Q48" i="15"/>
  <c r="F35" i="79"/>
  <c r="F35" i="67"/>
  <c r="M21" i="79"/>
  <c r="M21" i="67"/>
  <c r="C19" i="80" l="1"/>
  <c r="C20" i="80" s="1"/>
  <c r="C26" i="80" s="1"/>
  <c r="C21" i="83"/>
  <c r="C16" i="74"/>
  <c r="B2" i="74" s="1"/>
  <c r="D45" i="77" s="1"/>
  <c r="S22" i="31"/>
  <c r="B20" i="31" s="1"/>
  <c r="L19" i="9"/>
  <c r="C19" i="79"/>
  <c r="C20" i="79" s="1"/>
  <c r="C26" i="79" s="1"/>
  <c r="C20" i="67"/>
  <c r="C26" i="67" s="1"/>
  <c r="D31" i="6"/>
  <c r="I6" i="6" s="1"/>
  <c r="C23" i="15"/>
  <c r="C29" i="15" s="1"/>
  <c r="C18" i="12"/>
  <c r="C21" i="12" s="1"/>
  <c r="C22" i="12" s="1"/>
  <c r="C27" i="12" s="1"/>
  <c r="C25" i="12" s="1"/>
  <c r="J20" i="67"/>
  <c r="F63" i="67"/>
  <c r="C62" i="67" s="1"/>
  <c r="C34" i="67"/>
  <c r="C31" i="67" s="1"/>
  <c r="J20" i="79"/>
  <c r="C34" i="79"/>
  <c r="C31" i="79" s="1"/>
  <c r="F63" i="79"/>
  <c r="C62" i="79" s="1"/>
  <c r="C39" i="11"/>
  <c r="R19" i="6"/>
  <c r="J68" i="39"/>
  <c r="I70" i="39"/>
  <c r="G39" i="43"/>
  <c r="I39" i="43" s="1"/>
  <c r="E39" i="43"/>
  <c r="G33" i="43"/>
  <c r="I33" i="43" s="1"/>
  <c r="E33" i="43"/>
  <c r="G34" i="43"/>
  <c r="I34" i="43" s="1"/>
  <c r="E34" i="43"/>
  <c r="I65" i="40"/>
  <c r="J63" i="40"/>
  <c r="C19" i="68"/>
  <c r="D37" i="68"/>
  <c r="C37" i="68" s="1"/>
  <c r="C33" i="68" s="1"/>
  <c r="E38" i="43"/>
  <c r="G38" i="43"/>
  <c r="I38" i="43" s="1"/>
  <c r="E29" i="43"/>
  <c r="C30" i="43"/>
  <c r="E30" i="43" s="1"/>
  <c r="G36" i="43"/>
  <c r="I36" i="43" s="1"/>
  <c r="E36" i="43"/>
  <c r="G35" i="43"/>
  <c r="I35" i="43" s="1"/>
  <c r="E35" i="43"/>
  <c r="G37" i="43"/>
  <c r="I37" i="43" s="1"/>
  <c r="E37" i="43"/>
  <c r="C19" i="69"/>
  <c r="C24" i="69" s="1"/>
  <c r="D37" i="69"/>
  <c r="C37" i="69" s="1"/>
  <c r="C33" i="69" s="1"/>
  <c r="I5" i="6"/>
  <c r="C23" i="80" l="1"/>
  <c r="C29" i="80" s="1"/>
  <c r="C36" i="80" s="1"/>
  <c r="D7" i="74"/>
  <c r="D8" i="74"/>
  <c r="R22" i="31"/>
  <c r="B21" i="31" s="1"/>
  <c r="F11" i="34"/>
  <c r="H11" i="34"/>
  <c r="J11" i="34"/>
  <c r="C23" i="67"/>
  <c r="C29" i="67" s="1"/>
  <c r="Q49" i="67" s="1"/>
  <c r="C23" i="79"/>
  <c r="C29" i="79" s="1"/>
  <c r="C36" i="79" s="1"/>
  <c r="Q49" i="15"/>
  <c r="C57" i="15"/>
  <c r="C13" i="15"/>
  <c r="J19" i="15"/>
  <c r="C36" i="15"/>
  <c r="J14" i="15"/>
  <c r="C30" i="12"/>
  <c r="C28" i="12" s="1"/>
  <c r="C32" i="12" s="1"/>
  <c r="B2" i="12" s="1"/>
  <c r="B3" i="12" s="1"/>
  <c r="L57" i="79"/>
  <c r="L60" i="79" s="1"/>
  <c r="L46" i="79" s="1"/>
  <c r="C43" i="11"/>
  <c r="C41" i="11" s="1"/>
  <c r="C46" i="11"/>
  <c r="C45" i="11" s="1"/>
  <c r="C26" i="43"/>
  <c r="B2" i="43" s="1"/>
  <c r="R27" i="6"/>
  <c r="R6" i="1"/>
  <c r="J11" i="39"/>
  <c r="H11" i="39"/>
  <c r="F11" i="39"/>
  <c r="C27" i="43"/>
  <c r="J70" i="39"/>
  <c r="K68" i="39"/>
  <c r="C39" i="69"/>
  <c r="C42" i="69"/>
  <c r="C24" i="68"/>
  <c r="C39" i="68"/>
  <c r="C43" i="68" s="1"/>
  <c r="C42" i="68"/>
  <c r="K63" i="40"/>
  <c r="J65" i="40"/>
  <c r="L57" i="67"/>
  <c r="L60" i="67" s="1"/>
  <c r="L46" i="67" s="1"/>
  <c r="B6" i="76"/>
  <c r="F35" i="15"/>
  <c r="M21" i="80"/>
  <c r="F35" i="80"/>
  <c r="M21" i="15"/>
  <c r="E6" i="76"/>
  <c r="C57" i="80" l="1"/>
  <c r="C64" i="80" s="1"/>
  <c r="C13" i="80"/>
  <c r="C37" i="80" s="1"/>
  <c r="J14" i="80"/>
  <c r="J22" i="80" s="1"/>
  <c r="J19" i="80"/>
  <c r="Q49" i="80"/>
  <c r="U11" i="34"/>
  <c r="AB11" i="34"/>
  <c r="T49" i="34" s="1"/>
  <c r="G49" i="34" s="1"/>
  <c r="W11" i="34"/>
  <c r="AC11" i="34"/>
  <c r="V49" i="34" s="1"/>
  <c r="I49" i="34" s="1"/>
  <c r="S11" i="34"/>
  <c r="AA11" i="34"/>
  <c r="R49" i="34" s="1"/>
  <c r="F63" i="80"/>
  <c r="C62" i="80" s="1"/>
  <c r="C34" i="80"/>
  <c r="C31" i="80" s="1"/>
  <c r="J20" i="80"/>
  <c r="C36" i="67"/>
  <c r="C13" i="79"/>
  <c r="C75" i="79" s="1"/>
  <c r="C57" i="67"/>
  <c r="C61" i="67" s="1"/>
  <c r="C59" i="67" s="1"/>
  <c r="C57" i="79"/>
  <c r="C61" i="79" s="1"/>
  <c r="C59" i="79" s="1"/>
  <c r="C13" i="67"/>
  <c r="J14" i="67"/>
  <c r="J19" i="67"/>
  <c r="J17" i="67" s="1"/>
  <c r="J19" i="79"/>
  <c r="J17" i="79" s="1"/>
  <c r="J14" i="79"/>
  <c r="J13" i="79" s="1"/>
  <c r="J23" i="79" s="1"/>
  <c r="Q49" i="79"/>
  <c r="C56" i="15"/>
  <c r="C65" i="15" s="1"/>
  <c r="C75" i="15"/>
  <c r="Q70" i="15"/>
  <c r="C37" i="15"/>
  <c r="J22" i="79"/>
  <c r="J22" i="15"/>
  <c r="J13" i="15"/>
  <c r="J23" i="15" s="1"/>
  <c r="C64" i="15"/>
  <c r="C61" i="15"/>
  <c r="J20" i="15"/>
  <c r="J17" i="15" s="1"/>
  <c r="C34" i="15"/>
  <c r="F63" i="15"/>
  <c r="C62" i="15" s="1"/>
  <c r="R16" i="1"/>
  <c r="Q66" i="79"/>
  <c r="Q57" i="79"/>
  <c r="C49" i="11"/>
  <c r="C51" i="11" s="1"/>
  <c r="C52" i="11" s="1"/>
  <c r="B2" i="11" s="1"/>
  <c r="B3" i="11" s="1"/>
  <c r="AB11" i="39"/>
  <c r="U11" i="39"/>
  <c r="AA11" i="39"/>
  <c r="S11" i="39"/>
  <c r="W11" i="39"/>
  <c r="AC11" i="39"/>
  <c r="E2" i="76"/>
  <c r="L68" i="39"/>
  <c r="K70" i="39"/>
  <c r="C41" i="68"/>
  <c r="C46" i="68"/>
  <c r="C45" i="68" s="1"/>
  <c r="B2" i="76"/>
  <c r="C46" i="69"/>
  <c r="C45" i="69" s="1"/>
  <c r="C43" i="69"/>
  <c r="C41" i="69" s="1"/>
  <c r="K65" i="40"/>
  <c r="L63" i="40"/>
  <c r="B3" i="43"/>
  <c r="Q66" i="67"/>
  <c r="Q57" i="67"/>
  <c r="C61" i="80" l="1"/>
  <c r="C59" i="80" s="1"/>
  <c r="C75" i="80"/>
  <c r="C49" i="77"/>
  <c r="J17" i="80"/>
  <c r="J13" i="80"/>
  <c r="J23" i="80" s="1"/>
  <c r="Q70" i="80"/>
  <c r="C30" i="80"/>
  <c r="C39" i="80" s="1"/>
  <c r="C40" i="80" s="1"/>
  <c r="C56" i="80"/>
  <c r="C65" i="80" s="1"/>
  <c r="E49" i="34"/>
  <c r="R50" i="34"/>
  <c r="I54" i="34"/>
  <c r="J54" i="34" s="1"/>
  <c r="I53" i="34"/>
  <c r="J53" i="34" s="1"/>
  <c r="G54" i="34"/>
  <c r="H54" i="34" s="1"/>
  <c r="G53" i="34"/>
  <c r="H53" i="34" s="1"/>
  <c r="C56" i="79"/>
  <c r="C65" i="79" s="1"/>
  <c r="C37" i="79"/>
  <c r="C30" i="79" s="1"/>
  <c r="C39" i="79" s="1"/>
  <c r="C80" i="79" s="1"/>
  <c r="C79" i="79" s="1"/>
  <c r="C59" i="15"/>
  <c r="C58" i="15" s="1"/>
  <c r="C67" i="15" s="1"/>
  <c r="C68" i="15" s="1"/>
  <c r="C71" i="15" s="1"/>
  <c r="C64" i="79"/>
  <c r="C64" i="67"/>
  <c r="Q70" i="79"/>
  <c r="J16" i="79"/>
  <c r="J25" i="79" s="1"/>
  <c r="J13" i="67"/>
  <c r="J23" i="67" s="1"/>
  <c r="J22" i="67"/>
  <c r="Q70" i="67"/>
  <c r="C56" i="67"/>
  <c r="C65" i="67" s="1"/>
  <c r="C75" i="67"/>
  <c r="C37" i="67"/>
  <c r="C30" i="67" s="1"/>
  <c r="C39" i="67" s="1"/>
  <c r="J16" i="15"/>
  <c r="J25" i="15" s="1"/>
  <c r="L57" i="15"/>
  <c r="L60" i="15" s="1"/>
  <c r="C56" i="11"/>
  <c r="C57" i="11" s="1"/>
  <c r="C49" i="68"/>
  <c r="C51" i="68" s="1"/>
  <c r="B3" i="76"/>
  <c r="M68" i="39"/>
  <c r="L70" i="39"/>
  <c r="C49" i="69"/>
  <c r="C51" i="69" s="1"/>
  <c r="M63" i="40"/>
  <c r="L65" i="40"/>
  <c r="L51" i="67"/>
  <c r="L51" i="79"/>
  <c r="J16" i="80" l="1"/>
  <c r="J25" i="80" s="1"/>
  <c r="C58" i="80"/>
  <c r="C67" i="80" s="1"/>
  <c r="C68" i="80" s="1"/>
  <c r="C71" i="80" s="1"/>
  <c r="Q69" i="80"/>
  <c r="Q68" i="80" s="1"/>
  <c r="C80" i="80"/>
  <c r="C79" i="80" s="1"/>
  <c r="E53" i="34"/>
  <c r="F53" i="34" s="1"/>
  <c r="E54" i="34"/>
  <c r="F54" i="34" s="1"/>
  <c r="C50" i="34"/>
  <c r="B2" i="34" s="1"/>
  <c r="B3" i="34" s="1"/>
  <c r="C49" i="34"/>
  <c r="C58" i="79"/>
  <c r="C67" i="79" s="1"/>
  <c r="C68" i="79" s="1"/>
  <c r="C71" i="79" s="1"/>
  <c r="Q69" i="79"/>
  <c r="Q68" i="79" s="1"/>
  <c r="Q67" i="79"/>
  <c r="Q47" i="80"/>
  <c r="Q53" i="80" s="1"/>
  <c r="B2" i="80"/>
  <c r="Q65" i="80"/>
  <c r="Q75" i="80" s="1"/>
  <c r="Q56" i="80"/>
  <c r="Q62" i="80" s="1"/>
  <c r="C43" i="80"/>
  <c r="C83" i="80"/>
  <c r="C82" i="80" s="1"/>
  <c r="C40" i="79"/>
  <c r="Q65" i="79" s="1"/>
  <c r="Q75" i="79" s="1"/>
  <c r="C58" i="67"/>
  <c r="C67" i="67" s="1"/>
  <c r="C68" i="67" s="1"/>
  <c r="C71" i="67" s="1"/>
  <c r="J16" i="67"/>
  <c r="J25" i="67" s="1"/>
  <c r="Q67" i="67"/>
  <c r="C40" i="67"/>
  <c r="Q69" i="67"/>
  <c r="Q68" i="67" s="1"/>
  <c r="C80" i="67"/>
  <c r="C79" i="67" s="1"/>
  <c r="L46" i="15"/>
  <c r="Q57" i="15"/>
  <c r="Q66" i="15"/>
  <c r="N68" i="39"/>
  <c r="M70" i="39"/>
  <c r="N63" i="40"/>
  <c r="M65" i="40"/>
  <c r="AO8" i="1"/>
  <c r="L51" i="80"/>
  <c r="Q67" i="80" l="1"/>
  <c r="C46" i="80"/>
  <c r="Q47" i="79"/>
  <c r="Q53" i="79" s="1"/>
  <c r="B8" i="70"/>
  <c r="B3" i="80"/>
  <c r="B2" i="79"/>
  <c r="C43" i="79"/>
  <c r="C46" i="79"/>
  <c r="C83" i="79"/>
  <c r="C82" i="79" s="1"/>
  <c r="Q56" i="79"/>
  <c r="Q62" i="79" s="1"/>
  <c r="C45" i="67"/>
  <c r="C46" i="67" s="1"/>
  <c r="C83" i="67"/>
  <c r="C82" i="67" s="1"/>
  <c r="C43" i="67"/>
  <c r="D2" i="67"/>
  <c r="Q65" i="67"/>
  <c r="Q75" i="67" s="1"/>
  <c r="Q56" i="67"/>
  <c r="Q62" i="67" s="1"/>
  <c r="Q47" i="67"/>
  <c r="Q53" i="67" s="1"/>
  <c r="O68" i="39"/>
  <c r="O70" i="39" s="1"/>
  <c r="N70" i="39"/>
  <c r="J7" i="39" s="1"/>
  <c r="O63" i="40"/>
  <c r="O65" i="40" s="1"/>
  <c r="N65" i="40"/>
  <c r="D34" i="82"/>
  <c r="AO7" i="1"/>
  <c r="D19" i="83"/>
  <c r="D35" i="82"/>
  <c r="D102" i="83" l="1"/>
  <c r="G19" i="83"/>
  <c r="D21" i="83"/>
  <c r="D22" i="83"/>
  <c r="B7" i="70"/>
  <c r="B3" i="79"/>
  <c r="B3" i="67"/>
  <c r="B2" i="67"/>
  <c r="H7" i="39"/>
  <c r="F7" i="39"/>
  <c r="AC7" i="39"/>
  <c r="V47" i="39" s="1"/>
  <c r="I47" i="39" s="1"/>
  <c r="W7" i="39"/>
  <c r="F7" i="40"/>
  <c r="J7" i="40"/>
  <c r="H7" i="40"/>
  <c r="D20" i="83"/>
  <c r="C32" i="83" l="1"/>
  <c r="C35" i="83" s="1"/>
  <c r="F118" i="83" s="1"/>
  <c r="D16" i="74"/>
  <c r="G16" i="74" s="1"/>
  <c r="G21" i="83"/>
  <c r="G20" i="83"/>
  <c r="D103" i="83"/>
  <c r="AA7" i="39"/>
  <c r="R47" i="39" s="1"/>
  <c r="S7" i="39"/>
  <c r="I51" i="39"/>
  <c r="J51" i="39" s="1"/>
  <c r="AB7" i="39"/>
  <c r="T47" i="39" s="1"/>
  <c r="G47" i="39" s="1"/>
  <c r="U7" i="39"/>
  <c r="W7" i="40"/>
  <c r="AC7" i="40"/>
  <c r="V42" i="40" s="1"/>
  <c r="I42" i="40" s="1"/>
  <c r="U7" i="40"/>
  <c r="AB7" i="40"/>
  <c r="T42" i="40" s="1"/>
  <c r="G42" i="40" s="1"/>
  <c r="S7" i="40"/>
  <c r="AA7" i="40"/>
  <c r="R42" i="40" s="1"/>
  <c r="H118" i="83" l="1"/>
  <c r="I118" i="83" s="1"/>
  <c r="E16" i="74"/>
  <c r="F16" i="74"/>
  <c r="F119" i="83"/>
  <c r="G118" i="83"/>
  <c r="C34" i="83"/>
  <c r="D118" i="83" s="1"/>
  <c r="D119" i="83" s="1"/>
  <c r="G52" i="39"/>
  <c r="H52" i="39" s="1"/>
  <c r="G51" i="39"/>
  <c r="H51" i="39" s="1"/>
  <c r="E47" i="39"/>
  <c r="R48" i="39"/>
  <c r="E42" i="40"/>
  <c r="I47" i="40" s="1"/>
  <c r="J47" i="40" s="1"/>
  <c r="R43" i="40"/>
  <c r="I46" i="40"/>
  <c r="J46" i="40" s="1"/>
  <c r="G46" i="40"/>
  <c r="H46" i="40" s="1"/>
  <c r="G47" i="40"/>
  <c r="H47" i="40" s="1"/>
  <c r="H101" i="83" l="1"/>
  <c r="D45" i="83" s="1"/>
  <c r="C104" i="83"/>
  <c r="H119" i="83"/>
  <c r="E118" i="83"/>
  <c r="C105" i="83"/>
  <c r="H102" i="83"/>
  <c r="H107" i="83"/>
  <c r="E52" i="39"/>
  <c r="F52" i="39" s="1"/>
  <c r="E51" i="39"/>
  <c r="F51" i="39" s="1"/>
  <c r="I52" i="39"/>
  <c r="J52" i="39" s="1"/>
  <c r="C48" i="39"/>
  <c r="C47" i="39"/>
  <c r="C42" i="40"/>
  <c r="C43" i="40"/>
  <c r="E46" i="40"/>
  <c r="F46" i="40" s="1"/>
  <c r="E47" i="40"/>
  <c r="F47" i="40" s="1"/>
  <c r="M48" i="83" l="1"/>
  <c r="D122" i="83"/>
  <c r="D123" i="83" s="1"/>
  <c r="H108" i="83"/>
  <c r="M49" i="83"/>
  <c r="C78" i="83"/>
  <c r="C73" i="83" s="1"/>
  <c r="D52" i="83"/>
  <c r="C93" i="83"/>
  <c r="C86" i="83" s="1"/>
  <c r="C85" i="83"/>
  <c r="C72" i="83"/>
  <c r="C64" i="83"/>
  <c r="C63" i="83" s="1"/>
  <c r="C67" i="83" s="1"/>
  <c r="C68" i="83" s="1"/>
  <c r="D54" i="83" s="1"/>
  <c r="D55" i="83"/>
  <c r="M53" i="83" s="1"/>
  <c r="D53" i="83"/>
  <c r="B56" i="39"/>
  <c r="F56" i="39" s="1"/>
  <c r="B65" i="39"/>
  <c r="F65" i="39" s="1"/>
  <c r="B60" i="39"/>
  <c r="F60" i="39" s="1"/>
  <c r="B64" i="39"/>
  <c r="F64" i="39" s="1"/>
  <c r="B62" i="39"/>
  <c r="F62" i="39" s="1"/>
  <c r="B61" i="39"/>
  <c r="F61" i="39" s="1"/>
  <c r="B59" i="39"/>
  <c r="F59" i="39" s="1"/>
  <c r="B63" i="39"/>
  <c r="F63" i="39" s="1"/>
  <c r="B58" i="39"/>
  <c r="F58" i="39" s="1"/>
  <c r="B57" i="39"/>
  <c r="F57" i="39" s="1"/>
  <c r="B57" i="40"/>
  <c r="F57" i="40" s="1"/>
  <c r="B54" i="40"/>
  <c r="F54" i="40" s="1"/>
  <c r="B53" i="40"/>
  <c r="F53" i="40" s="1"/>
  <c r="F61" i="40"/>
  <c r="B2" i="40" s="1"/>
  <c r="B3" i="40" s="1"/>
  <c r="B58" i="40"/>
  <c r="F58" i="40" s="1"/>
  <c r="B52" i="40"/>
  <c r="F52" i="40" s="1"/>
  <c r="B51" i="40"/>
  <c r="F51" i="40" s="1"/>
  <c r="B55" i="40"/>
  <c r="F55" i="40" s="1"/>
  <c r="B60" i="40"/>
  <c r="F60" i="40" s="1"/>
  <c r="B59" i="40"/>
  <c r="F59" i="40" s="1"/>
  <c r="B56" i="40"/>
  <c r="F56" i="40" s="1"/>
  <c r="C79" i="83" l="1"/>
  <c r="C95" i="83"/>
  <c r="L66" i="83"/>
  <c r="M66" i="83" s="1"/>
  <c r="L65" i="83"/>
  <c r="M65" i="83" s="1"/>
  <c r="L64" i="83"/>
  <c r="M64" i="83" s="1"/>
  <c r="L68" i="83"/>
  <c r="M68" i="83" s="1"/>
  <c r="L67" i="83"/>
  <c r="M67" i="83" s="1"/>
  <c r="L63" i="83"/>
  <c r="M63" i="83" s="1"/>
  <c r="C80" i="83"/>
  <c r="E80" i="83" s="1"/>
  <c r="E81" i="83" s="1"/>
  <c r="F66" i="39"/>
  <c r="B2" i="39" s="1"/>
  <c r="C96" i="83" l="1"/>
  <c r="E96" i="83" s="1"/>
  <c r="E97" i="83" s="1"/>
  <c r="C81" i="83"/>
  <c r="M69" i="83"/>
  <c r="N69" i="83" s="1"/>
  <c r="B3" i="39"/>
  <c r="C6" i="69"/>
  <c r="C6" i="68"/>
  <c r="C7" i="68" s="1"/>
  <c r="C5" i="68" s="1"/>
  <c r="C23" i="68" s="1"/>
  <c r="C97" i="83" l="1"/>
  <c r="D58" i="83" s="1"/>
  <c r="D56" i="83" s="1"/>
  <c r="M54" i="83" s="1"/>
  <c r="N57" i="83" s="1"/>
  <c r="P57" i="83" s="1"/>
  <c r="C7" i="69"/>
  <c r="C5" i="69" s="1"/>
  <c r="C20" i="68"/>
  <c r="C25" i="68" s="1"/>
  <c r="C22" i="68" s="1"/>
  <c r="N58" i="83" l="1"/>
  <c r="N59" i="83"/>
  <c r="C23" i="69"/>
  <c r="C20" i="69"/>
  <c r="C25" i="69" s="1"/>
  <c r="C28" i="68"/>
  <c r="C27" i="68" s="1"/>
  <c r="C31" i="68" s="1"/>
  <c r="C52" i="68" s="1"/>
  <c r="B2" i="68" s="1"/>
  <c r="C19" i="9"/>
  <c r="C19" i="82"/>
  <c r="N60" i="83" l="1"/>
  <c r="N61" i="83"/>
  <c r="C102" i="82"/>
  <c r="C21" i="82"/>
  <c r="C22" i="69"/>
  <c r="C28" i="69"/>
  <c r="C27" i="69" s="1"/>
  <c r="C102" i="9"/>
  <c r="C21" i="9"/>
  <c r="C57" i="68"/>
  <c r="C56" i="68" s="1"/>
  <c r="B3" i="68"/>
  <c r="C20" i="82"/>
  <c r="F6" i="15"/>
  <c r="C20" i="9"/>
  <c r="C103" i="82" l="1"/>
  <c r="C6" i="15"/>
  <c r="C10" i="15" s="1"/>
  <c r="C5" i="15" s="1"/>
  <c r="C31" i="69"/>
  <c r="C52" i="69" s="1"/>
  <c r="B2" i="69" s="1"/>
  <c r="B3" i="69" s="1"/>
  <c r="C103" i="9"/>
  <c r="F31" i="15"/>
  <c r="C38" i="15" l="1"/>
  <c r="C32" i="15"/>
  <c r="C33" i="15"/>
  <c r="C57" i="69"/>
  <c r="C56" i="69" s="1"/>
  <c r="C31" i="15" l="1"/>
  <c r="C30" i="15" s="1"/>
  <c r="C39" i="15" s="1"/>
  <c r="L51" i="15"/>
  <c r="Q67" i="15" l="1"/>
  <c r="C80" i="15"/>
  <c r="C79" i="15" s="1"/>
  <c r="Q69" i="15"/>
  <c r="Q68" i="15" s="1"/>
  <c r="C40" i="15"/>
  <c r="C50" i="77" s="1"/>
  <c r="C51" i="77" s="1"/>
  <c r="C46" i="15" l="1"/>
  <c r="Q65" i="15"/>
  <c r="Q75" i="15" s="1"/>
  <c r="Q56" i="15"/>
  <c r="Q62" i="15" s="1"/>
  <c r="C83" i="15"/>
  <c r="C82" i="15" s="1"/>
  <c r="C43" i="15"/>
  <c r="Q47" i="15"/>
  <c r="Q53" i="15" s="1"/>
  <c r="B2" i="15"/>
  <c r="AO6" i="1"/>
  <c r="B6" i="70" l="1"/>
  <c r="B2" i="70" s="1"/>
  <c r="B3" i="15"/>
  <c r="D34" i="9"/>
  <c r="D35" i="9"/>
  <c r="D19" i="9"/>
  <c r="D19" i="82"/>
  <c r="D102" i="82" l="1"/>
  <c r="D21" i="82"/>
  <c r="G19" i="82"/>
  <c r="D15" i="74" s="1"/>
  <c r="G15" i="74" s="1"/>
  <c r="D22" i="82"/>
  <c r="D102" i="9"/>
  <c r="D21" i="9"/>
  <c r="G19" i="9"/>
  <c r="H31" i="77" s="1"/>
  <c r="H32" i="77" s="1"/>
  <c r="D22" i="9"/>
  <c r="B3" i="70"/>
  <c r="D20" i="82"/>
  <c r="D20" i="9"/>
  <c r="E15" i="74" l="1"/>
  <c r="F15" i="74"/>
  <c r="D103" i="82"/>
  <c r="G20" i="82"/>
  <c r="G21" i="82"/>
  <c r="C32" i="82"/>
  <c r="D103" i="9"/>
  <c r="G20" i="9"/>
  <c r="G21" i="9"/>
  <c r="C32" i="9"/>
  <c r="H118" i="82" l="1"/>
  <c r="C35" i="82"/>
  <c r="F118" i="82" s="1"/>
  <c r="C35" i="9"/>
  <c r="F118" i="9" s="1"/>
  <c r="H118" i="9"/>
  <c r="C34" i="82" l="1"/>
  <c r="D118" i="82" s="1"/>
  <c r="D119" i="82" s="1"/>
  <c r="F119" i="82"/>
  <c r="G118" i="82"/>
  <c r="I118" i="82"/>
  <c r="C104" i="82"/>
  <c r="H119" i="82"/>
  <c r="H101" i="82"/>
  <c r="C34" i="9"/>
  <c r="D118" i="9" s="1"/>
  <c r="D4" i="52" s="1"/>
  <c r="B47" i="72" s="1"/>
  <c r="D14" i="74"/>
  <c r="C104" i="9"/>
  <c r="H101" i="9"/>
  <c r="H119" i="9"/>
  <c r="H5" i="52" s="1"/>
  <c r="I118" i="9"/>
  <c r="H4" i="52"/>
  <c r="G118" i="9"/>
  <c r="G4" i="52" s="1"/>
  <c r="B52" i="72" s="1"/>
  <c r="F4" i="52"/>
  <c r="B51" i="72" s="1"/>
  <c r="F119" i="9"/>
  <c r="F5" i="52" s="1"/>
  <c r="B53" i="72" s="1"/>
  <c r="H107" i="82" l="1"/>
  <c r="M48" i="82"/>
  <c r="D45" i="82"/>
  <c r="E118" i="82"/>
  <c r="C105" i="82"/>
  <c r="H102" i="82"/>
  <c r="D119" i="9"/>
  <c r="D5" i="52" s="1"/>
  <c r="B49" i="72" s="1"/>
  <c r="H102" i="9"/>
  <c r="D7" i="53" s="1"/>
  <c r="B21" i="72" s="1"/>
  <c r="E118" i="9"/>
  <c r="E4" i="52" s="1"/>
  <c r="B48" i="72" s="1"/>
  <c r="C105" i="9"/>
  <c r="I4" i="52"/>
  <c r="D5" i="53"/>
  <c r="M48" i="9"/>
  <c r="H107" i="9"/>
  <c r="D45" i="9"/>
  <c r="B5" i="74"/>
  <c r="I46" i="77" s="1"/>
  <c r="E14" i="74"/>
  <c r="F14" i="74"/>
  <c r="G46" i="77" l="1"/>
  <c r="H46" i="77" s="1"/>
  <c r="C78" i="82"/>
  <c r="C73" i="82" s="1"/>
  <c r="C93" i="82"/>
  <c r="C86" i="82" s="1"/>
  <c r="C85" i="82"/>
  <c r="C72" i="82"/>
  <c r="C64" i="82"/>
  <c r="C63" i="82" s="1"/>
  <c r="C67" i="82" s="1"/>
  <c r="C68" i="82" s="1"/>
  <c r="D54" i="82" s="1"/>
  <c r="D55" i="82"/>
  <c r="M53" i="82" s="1"/>
  <c r="D53" i="82"/>
  <c r="D52" i="82"/>
  <c r="D122" i="82"/>
  <c r="D123" i="82" s="1"/>
  <c r="H108" i="82"/>
  <c r="M49" i="82"/>
  <c r="D52" i="9"/>
  <c r="C72" i="9"/>
  <c r="C93" i="9"/>
  <c r="C86" i="9" s="1"/>
  <c r="D53" i="9"/>
  <c r="C64" i="9"/>
  <c r="C63" i="9" s="1"/>
  <c r="C67" i="9" s="1"/>
  <c r="C68" i="9" s="1"/>
  <c r="D54" i="9" s="1"/>
  <c r="C85" i="9"/>
  <c r="D55" i="9"/>
  <c r="M53" i="9" s="1"/>
  <c r="C78" i="9"/>
  <c r="C73" i="9" s="1"/>
  <c r="D5" i="74"/>
  <c r="C5" i="74"/>
  <c r="J46" i="77" s="1"/>
  <c r="D13" i="53"/>
  <c r="D122" i="9"/>
  <c r="H108" i="9"/>
  <c r="D15" i="53" s="1"/>
  <c r="B31" i="72" s="1"/>
  <c r="M49" i="9"/>
  <c r="B20" i="72"/>
  <c r="D6" i="53"/>
  <c r="B22" i="72" s="1"/>
  <c r="F46" i="77" l="1"/>
  <c r="E46" i="77"/>
  <c r="C95" i="82"/>
  <c r="C79" i="82"/>
  <c r="C80" i="82" s="1"/>
  <c r="E80" i="82" s="1"/>
  <c r="E81" i="82" s="1"/>
  <c r="L68" i="82"/>
  <c r="M68" i="82" s="1"/>
  <c r="L67" i="82"/>
  <c r="M67" i="82" s="1"/>
  <c r="L63" i="82"/>
  <c r="M63" i="82" s="1"/>
  <c r="L66" i="82"/>
  <c r="M66" i="82" s="1"/>
  <c r="L65" i="82"/>
  <c r="M65" i="82" s="1"/>
  <c r="L64" i="82"/>
  <c r="M64" i="82" s="1"/>
  <c r="C96" i="82"/>
  <c r="E96" i="82" s="1"/>
  <c r="E97" i="82" s="1"/>
  <c r="L68" i="9"/>
  <c r="M68" i="9" s="1"/>
  <c r="L64" i="9"/>
  <c r="M64" i="9" s="1"/>
  <c r="L67" i="9"/>
  <c r="M67" i="9" s="1"/>
  <c r="L66" i="9"/>
  <c r="M66" i="9" s="1"/>
  <c r="L63" i="9"/>
  <c r="M63" i="9" s="1"/>
  <c r="L65" i="9"/>
  <c r="M65" i="9" s="1"/>
  <c r="D123" i="9"/>
  <c r="D9" i="52" s="1"/>
  <c r="D8" i="52"/>
  <c r="G14" i="74"/>
  <c r="B6" i="74" s="1"/>
  <c r="C95" i="9"/>
  <c r="C79" i="9"/>
  <c r="D14" i="53"/>
  <c r="B32" i="72" s="1"/>
  <c r="B30" i="72"/>
  <c r="C97" i="82" l="1"/>
  <c r="D58" i="82" s="1"/>
  <c r="D56" i="82" s="1"/>
  <c r="M54" i="82" s="1"/>
  <c r="N57" i="82" s="1"/>
  <c r="N58" i="82" s="1"/>
  <c r="M69" i="82"/>
  <c r="N69" i="82" s="1"/>
  <c r="C81" i="82"/>
  <c r="M69" i="9"/>
  <c r="N69" i="9" s="1"/>
  <c r="C80" i="9"/>
  <c r="E80" i="9" s="1"/>
  <c r="E81" i="9" s="1"/>
  <c r="D6" i="74"/>
  <c r="C6" i="74"/>
  <c r="C96" i="9"/>
  <c r="E96" i="9" s="1"/>
  <c r="E97" i="9" s="1"/>
  <c r="P57" i="82" l="1"/>
  <c r="N59" i="82"/>
  <c r="N61" i="82" s="1"/>
  <c r="C97" i="9"/>
  <c r="D58" i="9" s="1"/>
  <c r="D56" i="9" s="1"/>
  <c r="M54" i="9" s="1"/>
  <c r="N57" i="9" s="1"/>
  <c r="C81" i="9"/>
  <c r="N60" i="82"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<sst xmlns="http://schemas.openxmlformats.org/spreadsheetml/2006/main" count="9221" uniqueCount="3340">
  <si>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</si>
  <si>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</si>
  <si>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</si>
  <si>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</si>
  <si>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</si>
  <si>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</si>
  <si>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</si>
  <si>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</si>
  <si>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</si>
  <si>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</si>
  <si>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</si>
  <si>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</si>
  <si>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</si>
  <si>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</si>
  <si>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</si>
  <si>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</si>
  <si>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</si>
  <si>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</si>
  <si>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</si>
  <si>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</si>
  <si>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</si>
  <si>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</si>
  <si>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</si>
  <si>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</si>
  <si>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</si>
  <si>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</si>
  <si>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</si>
  <si>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</si>
  <si>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</si>
  <si>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</si>
  <si>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</si>
  <si>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</si>
  <si>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</si>
  <si>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</si>
  <si>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</si>
  <si>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</si>
  <si>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</si>
  <si>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</si>
  <si>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</si>
  <si>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</si>
  <si>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</si>
  <si>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</si>
  <si>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</si>
  <si>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</si>
  <si>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</si>
  <si>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</si>
  <si>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</si>
  <si>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</si>
  <si>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</si>
  <si>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</si>
  <si>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</si>
  <si>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</si>
  <si>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</si>
  <si>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</si>
  <si>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</si>
  <si>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</si>
  <si>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</si>
  <si>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</si>
  <si>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</si>
  <si>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</si>
  <si>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</si>
  <si>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</si>
  <si>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</si>
  <si>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</si>
  <si>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</si>
  <si>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</si>
  <si>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</si>
  <si>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</si>
  <si>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</si>
  <si>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</si>
  <si>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</si>
  <si>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</si>
  <si>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</si>
  <si>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</si>
  <si>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</si>
  <si>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</si>
  <si>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</si>
  <si>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</si>
  <si>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</si>
  <si>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</si>
  <si>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</si>
  <si>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</si>
  <si>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</si>
  <si>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</si>
  <si>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</si>
  <si>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</si>
  <si>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</si>
  <si>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</si>
  <si>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</si>
  <si>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</si>
  <si>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</si>
  <si>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</si>
  <si>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</si>
  <si>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</si>
  <si>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</si>
  <si>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</si>
  <si>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</si>
  <si>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</si>
  <si>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</si>
  <si>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</si>
  <si>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</si>
  <si>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</si>
  <si>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</si>
  <si>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</si>
  <si>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</si>
  <si>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</si>
  <si>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</si>
  <si>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</si>
  <si>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</si>
  <si>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</si>
  <si>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</si>
  <si>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</si>
  <si>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</si>
  <si>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</si>
  <si>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</si>
  <si>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</si>
  <si>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</si>
  <si>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</si>
  <si>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</si>
  <si>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</si>
  <si>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</si>
  <si>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</si>
  <si>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</si>
  <si>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</si>
  <si>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</si>
  <si>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</si>
  <si>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</si>
  <si>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</si>
  <si>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</si>
  <si>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</si>
  <si>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</si>
  <si>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</si>
  <si>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</si>
  <si>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</si>
  <si>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</si>
  <si>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</si>
  <si>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</si>
  <si>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</si>
  <si>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</si>
  <si>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</si>
  <si>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</si>
  <si>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</si>
  <si>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</si>
  <si>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</si>
  <si>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</si>
  <si>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</si>
  <si>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</si>
  <si>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</si>
  <si>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</si>
  <si>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</si>
  <si>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</si>
  <si>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</si>
  <si>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</si>
  <si>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</si>
  <si>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</si>
  <si>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</si>
  <si>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</si>
  <si>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</si>
  <si>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</si>
  <si>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</si>
  <si>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</si>
  <si>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</si>
  <si>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</si>
  <si>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</si>
  <si>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</si>
  <si>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</si>
  <si>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</si>
  <si>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</si>
  <si>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</si>
  <si>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</si>
  <si>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</si>
  <si>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</si>
  <si>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</si>
  <si>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</si>
  <si>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</si>
  <si>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</si>
  <si>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</si>
  <si>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</si>
  <si>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</si>
  <si>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</si>
  <si>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</si>
  <si>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</si>
  <si>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</si>
  <si>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</si>
  <si>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</si>
  <si>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</si>
  <si>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</si>
  <si>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</si>
  <si>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</si>
  <si>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</si>
  <si>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</si>
  <si>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</si>
  <si>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</si>
  <si>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</si>
  <si>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</si>
  <si>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</si>
  <si>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</si>
  <si>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</si>
  <si>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</si>
  <si>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</si>
  <si>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</si>
  <si>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</si>
  <si>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</si>
  <si>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</si>
  <si>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</si>
  <si>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</si>
  <si>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</si>
  <si>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</si>
  <si>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</si>
  <si>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</si>
  <si>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</si>
  <si>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</si>
  <si>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</si>
  <si>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</si>
  <si>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</si>
  <si>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</si>
  <si>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</si>
  <si>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</si>
  <si>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</si>
  <si>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</si>
  <si>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</si>
  <si>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</si>
  <si>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</si>
  <si>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</si>
  <si>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</si>
  <si>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</si>
  <si>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</si>
  <si>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</si>
  <si>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</si>
  <si>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</si>
  <si>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</si>
  <si>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</si>
  <si>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</si>
  <si>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</si>
  <si>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</si>
  <si>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</si>
  <si>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</si>
  <si>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</si>
  <si>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</si>
  <si>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</si>
  <si>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</si>
  <si>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</si>
  <si>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</si>
  <si>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</si>
  <si>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</si>
  <si>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</si>
  <si>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</si>
  <si>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</si>
  <si>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</si>
  <si>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</si>
  <si>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</si>
  <si>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</si>
  <si>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</si>
  <si>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</si>
  <si>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</si>
  <si>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</si>
  <si>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</si>
  <si>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</si>
  <si>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</si>
  <si>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</si>
  <si>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</si>
  <si>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</si>
  <si>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</si>
  <si>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</si>
  <si>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</si>
  <si>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</si>
  <si>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</si>
  <si>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</si>
  <si>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</si>
  <si>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</si>
  <si>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</si>
  <si>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</si>
  <si>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</si>
  <si>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</si>
  <si>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</si>
  <si>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</si>
  <si>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</si>
  <si>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</si>
  <si>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</si>
  <si>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</si>
  <si>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</si>
  <si>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</si>
  <si>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</si>
  <si>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</si>
  <si>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</si>
  <si>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</si>
  <si>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</si>
  <si>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</si>
  <si>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</si>
  <si>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</si>
  <si>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</si>
  <si>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</si>
  <si>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</si>
  <si>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</si>
  <si>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</si>
  <si>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</si>
  <si>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</si>
  <si>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</si>
  <si>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</si>
  <si>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</si>
  <si>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</si>
  <si>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</si>
  <si>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</si>
  <si>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</si>
  <si>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</si>
  <si>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</si>
  <si>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</si>
  <si>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</si>
  <si>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</si>
  <si>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</si>
  <si>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</si>
  <si>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</si>
  <si>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</si>
  <si>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</si>
  <si>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</si>
  <si>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</si>
  <si>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</si>
  <si>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</si>
  <si>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</si>
  <si>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</si>
  <si>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</si>
  <si>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</si>
  <si>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</si>
  <si>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</si>
  <si>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</si>
  <si>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</si>
  <si>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</si>
  <si>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</si>
  <si>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</si>
  <si>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</si>
  <si>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</si>
  <si>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</si>
  <si>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</si>
  <si>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</si>
  <si>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</si>
  <si>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</si>
  <si>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</si>
  <si>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</si>
  <si>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</si>
  <si>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</si>
  <si>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</si>
  <si>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</si>
  <si>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</si>
  <si>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</si>
  <si>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</si>
  <si>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</si>
  <si>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</si>
  <si>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</si>
  <si>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</si>
  <si>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</si>
  <si>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</si>
  <si>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</si>
  <si>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</si>
  <si>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</si>
  <si>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</si>
  <si>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</si>
  <si>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</si>
  <si>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</si>
  <si>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</si>
  <si>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</si>
  <si>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</si>
  <si>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</si>
  <si>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</si>
  <si>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</si>
  <si>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</si>
  <si>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</si>
  <si>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</si>
  <si>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</si>
  <si>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</si>
  <si>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</si>
  <si>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</si>
  <si>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</si>
  <si>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</si>
  <si>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</si>
  <si>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</si>
  <si>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</si>
  <si>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</si>
  <si>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</si>
  <si>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</si>
  <si>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</si>
  <si>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</si>
  <si>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</si>
  <si>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</si>
  <si>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</si>
  <si>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</si>
  <si>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</si>
  <si>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</si>
  <si>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</si>
  <si>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</si>
  <si>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</si>
  <si>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</si>
  <si>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</si>
  <si>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</si>
  <si>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</si>
  <si>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</si>
  <si>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</si>
  <si>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</si>
  <si>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</si>
  <si>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</si>
  <si>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</si>
  <si>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</si>
  <si>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</si>
  <si>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</si>
  <si>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</si>
  <si>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</si>
  <si>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</si>
  <si>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</si>
  <si>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</si>
  <si>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</si>
  <si>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</si>
  <si>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</si>
  <si>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</si>
  <si>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</si>
  <si>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</si>
  <si>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</si>
  <si>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</si>
  <si>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</si>
  <si>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</si>
  <si>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</si>
  <si>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</si>
  <si>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</si>
  <si>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</si>
  <si>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</si>
  <si>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</si>
  <si>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</si>
  <si>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</si>
  <si>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</si>
  <si>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</si>
  <si>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</si>
  <si>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</si>
  <si>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</si>
  <si>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</si>
  <si>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</si>
  <si>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</si>
  <si>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</si>
  <si>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</si>
  <si>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</si>
  <si>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</si>
  <si>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</si>
  <si>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</si>
  <si>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</si>
  <si>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</si>
  <si>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</si>
  <si>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</si>
  <si>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</si>
  <si>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</si>
  <si>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</si>
  <si>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</si>
  <si>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</si>
  <si>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</si>
  <si>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</si>
  <si>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</si>
  <si>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</si>
  <si>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</si>
  <si>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</si>
  <si>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</si>
  <si>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</si>
  <si>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</si>
  <si>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</si>
  <si>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</si>
  <si>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</si>
  <si>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</si>
  <si>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</si>
  <si>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</si>
  <si>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</si>
  <si>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</si>
  <si>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</si>
  <si>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</si>
  <si>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</si>
  <si>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</si>
  <si>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</si>
  <si>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</si>
  <si>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</si>
  <si>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</si>
  <si>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</si>
  <si>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</si>
  <si>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</si>
  <si>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</si>
  <si>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</si>
  <si>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</si>
  <si>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</si>
  <si>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</si>
  <si>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</si>
  <si>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</si>
  <si>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</si>
  <si>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</si>
  <si>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</si>
  <si>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</si>
  <si>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</si>
  <si>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</si>
  <si>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</si>
  <si>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</si>
  <si>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</si>
  <si>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</si>
  <si>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</si>
  <si>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</si>
  <si>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</si>
  <si>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</si>
  <si>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</si>
  <si>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</si>
  <si>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</si>
  <si>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</si>
  <si>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</si>
  <si>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</si>
  <si>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</si>
  <si>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</si>
  <si>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</si>
  <si>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</si>
  <si>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</si>
  <si>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</si>
  <si>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</si>
  <si>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</si>
  <si>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</si>
  <si>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</si>
  <si>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</si>
  <si>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</si>
  <si>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</si>
  <si>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</si>
  <si>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</si>
  <si>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</si>
  <si>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</si>
  <si>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</si>
  <si>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</si>
  <si>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</si>
  <si>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</si>
  <si>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</si>
  <si>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</si>
  <si>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</si>
  <si>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</si>
  <si>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</si>
  <si>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</si>
  <si>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</si>
  <si>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</si>
  <si>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</si>
  <si>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</si>
  <si>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</si>
  <si>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</si>
  <si>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</si>
  <si>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</si>
  <si>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</si>
  <si>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</si>
  <si>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</si>
  <si>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</si>
  <si>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</si>
  <si>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</si>
  <si>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</si>
  <si>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</si>
  <si>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</si>
  <si>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</si>
  <si>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</si>
  <si>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</si>
  <si>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</si>
  <si>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</si>
  <si>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</si>
  <si>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</si>
  <si>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</si>
  <si>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</si>
  <si>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</si>
  <si>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</si>
  <si>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</si>
  <si>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</si>
  <si>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</si>
  <si>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</si>
  <si>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</si>
  <si>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</si>
  <si>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</si>
  <si>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</si>
  <si>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</si>
  <si>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</si>
  <si>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</si>
  <si>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</si>
  <si>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</si>
  <si>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</si>
  <si>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</si>
  <si>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</si>
  <si>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</si>
  <si>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</si>
  <si>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</si>
  <si>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</si>
  <si>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</si>
  <si>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</si>
  <si>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</si>
  <si>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</si>
  <si>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</si>
  <si>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</si>
  <si>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</si>
  <si>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</si>
  <si>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</si>
  <si>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</si>
  <si>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</si>
  <si>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</si>
  <si>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</si>
  <si>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</si>
  <si>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</si>
  <si>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</si>
  <si>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</si>
  <si>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</si>
  <si>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</si>
  <si>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</si>
  <si>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</si>
  <si>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</si>
  <si>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</si>
  <si>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</si>
  <si>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</si>
  <si>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</si>
  <si>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</si>
  <si>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</si>
  <si>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</si>
  <si>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</si>
  <si>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</si>
  <si>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</si>
  <si>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</si>
  <si>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</si>
  <si>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</si>
  <si>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</si>
  <si>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</si>
  <si>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</si>
  <si>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</si>
  <si>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</si>
  <si>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</si>
  <si>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</si>
  <si>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</si>
  <si>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</si>
  <si>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</si>
  <si>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</si>
  <si>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</si>
  <si>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</si>
  <si>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</si>
  <si>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</si>
  <si>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</si>
  <si>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</si>
  <si>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</si>
  <si>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</si>
  <si>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</si>
  <si>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</si>
  <si>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</si>
  <si>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</si>
  <si>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</si>
  <si>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</si>
  <si>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</si>
  <si>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</si>
  <si>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</si>
  <si>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</si>
  <si>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</si>
  <si>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</si>
  <si>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</si>
  <si>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</si>
  <si>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</si>
  <si>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</si>
  <si>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</si>
  <si>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</si>
  <si>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</si>
  <si>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</si>
  <si>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</si>
  <si>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</si>
  <si>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</si>
  <si>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</si>
  <si>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</si>
  <si>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</si>
  <si>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</si>
  <si>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</si>
  <si>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</si>
  <si>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</si>
  <si>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</si>
  <si>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</si>
  <si>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</si>
  <si>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</si>
  <si>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</si>
  <si>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</si>
  <si>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</si>
  <si>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</si>
  <si>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</si>
  <si>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</si>
  <si>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</si>
  <si>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</si>
  <si>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</si>
  <si>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</si>
  <si>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</si>
  <si>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</si>
  <si>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</si>
  <si>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</si>
  <si>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</si>
  <si>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</si>
  <si>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</si>
  <si>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</si>
  <si>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</si>
  <si>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</si>
  <si>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</si>
  <si>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</si>
  <si>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</si>
  <si>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</si>
  <si>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</si>
  <si>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</si>
  <si>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</si>
  <si>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</si>
  <si>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</si>
  <si>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</si>
  <si>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</si>
  <si>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</si>
  <si>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</si>
  <si>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</si>
  <si>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</si>
  <si>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</si>
  <si>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</si>
  <si>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</si>
  <si>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</si>
  <si>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</si>
  <si>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</si>
  <si>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</si>
  <si>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</si>
  <si>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</si>
  <si>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</si>
  <si>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</si>
  <si>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</si>
  <si>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</si>
  <si>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</si>
  <si>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</si>
  <si>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</si>
  <si>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</si>
  <si>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</si>
  <si>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</si>
  <si>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</si>
  <si>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</si>
  <si>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</si>
  <si>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</si>
  <si>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</si>
  <si>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</si>
  <si>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</si>
  <si>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</si>
  <si>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</si>
  <si>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</si>
  <si>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</si>
  <si>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</si>
  <si>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</si>
  <si>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</si>
  <si>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</si>
  <si>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</si>
  <si>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</si>
  <si>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</si>
  <si>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</si>
  <si>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</si>
  <si>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</si>
  <si>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</si>
  <si>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</si>
  <si>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</si>
  <si>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</si>
  <si>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</si>
  <si>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</si>
  <si>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</si>
  <si>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</si>
  <si>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</si>
  <si>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</si>
  <si>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</si>
  <si>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</si>
  <si>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</si>
  <si>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</si>
  <si>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</si>
  <si>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</si>
  <si>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</si>
  <si>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</si>
  <si>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</si>
  <si>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</si>
  <si>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</si>
  <si>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</si>
  <si>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</si>
  <si>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</si>
  <si>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</si>
  <si>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</si>
  <si>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</si>
  <si>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</si>
  <si>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</si>
  <si>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</si>
  <si>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</si>
  <si>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</si>
  <si>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</si>
  <si>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</si>
  <si>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</si>
  <si>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</si>
  <si>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</si>
  <si>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</si>
  <si>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</si>
  <si>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</si>
  <si>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</si>
  <si>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</si>
  <si>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</si>
  <si>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</si>
  <si>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</si>
  <si>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</si>
  <si>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</si>
  <si>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</si>
  <si>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</si>
  <si>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</si>
  <si>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</si>
  <si>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</si>
  <si>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</si>
  <si>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</si>
  <si>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</si>
  <si>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</si>
  <si>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</si>
  <si>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</si>
  <si>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</si>
  <si>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</si>
  <si>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</si>
  <si>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</si>
  <si>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</si>
  <si>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</si>
  <si>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</si>
  <si>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</si>
  <si>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</si>
  <si>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</si>
  <si>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</si>
  <si>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</si>
  <si>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</si>
  <si>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</si>
  <si>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</si>
  <si>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</si>
  <si>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</si>
  <si>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</si>
  <si>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</si>
  <si>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</si>
  <si>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</si>
  <si>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</si>
  <si>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</si>
  <si>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</si>
  <si>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</si>
  <si>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</si>
  <si>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</si>
  <si>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</si>
  <si>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</si>
  <si>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</si>
  <si>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</si>
  <si>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</si>
  <si>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</si>
  <si>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</si>
  <si>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</si>
  <si>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</si>
  <si>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</si>
  <si>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</si>
  <si>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</si>
  <si>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</si>
  <si>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</si>
  <si>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</si>
  <si>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</si>
  <si>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</si>
  <si>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</si>
  <si>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</si>
  <si>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</si>
  <si>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</si>
  <si>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</si>
  <si>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</si>
  <si>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</si>
  <si>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</si>
  <si>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</si>
  <si>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</si>
  <si>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</si>
  <si>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</si>
  <si>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</si>
  <si>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</si>
  <si>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</si>
  <si>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</si>
  <si>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</si>
  <si>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</si>
  <si>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</si>
  <si>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</si>
  <si>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</si>
  <si>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</si>
  <si>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</si>
  <si>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</si>
  <si>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</si>
  <si>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</si>
  <si>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</si>
  <si>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</si>
  <si>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</si>
  <si>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</si>
  <si>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</si>
  <si>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</si>
  <si>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</si>
  <si>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</si>
  <si>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</si>
  <si>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</si>
  <si>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</si>
  <si>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</si>
  <si>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</si>
  <si>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</si>
  <si>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</si>
  <si>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</si>
  <si>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</si>
  <si>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</si>
  <si>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</si>
  <si>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</si>
  <si>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</si>
  <si>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</si>
  <si>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</si>
  <si>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</si>
  <si>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</si>
  <si>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</si>
  <si>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</si>
  <si>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</si>
  <si>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</si>
  <si>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</si>
  <si>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</si>
  <si>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</si>
  <si>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</si>
  <si>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</si>
  <si>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</si>
  <si>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</si>
  <si>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</si>
  <si>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</si>
  <si>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</si>
  <si>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</si>
  <si>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</si>
  <si>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</si>
  <si>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</si>
  <si>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</si>
  <si>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</si>
  <si>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</si>
  <si>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</si>
  <si>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</si>
  <si>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</si>
  <si>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</si>
  <si>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</si>
  <si>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</si>
  <si>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</si>
  <si>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</si>
  <si>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</si>
  <si>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</si>
  <si>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</si>
  <si>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</si>
  <si>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</si>
  <si>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</si>
  <si>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</si>
  <si>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</si>
  <si>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</si>
  <si>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</si>
  <si>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</si>
  <si>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</si>
  <si>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</si>
  <si>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</si>
  <si>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</si>
  <si>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</si>
  <si>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</si>
  <si>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</si>
  <si>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</si>
  <si>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</si>
  <si>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</si>
  <si>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</si>
  <si>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</si>
  <si>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</si>
  <si>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</si>
  <si>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</si>
  <si>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</si>
  <si>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</si>
  <si>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</si>
  <si>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</si>
  <si>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</si>
  <si>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</si>
  <si>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</si>
  <si>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</si>
  <si>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</si>
  <si>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</si>
  <si>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</si>
  <si>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</si>
  <si>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</si>
  <si>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</si>
  <si>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</si>
  <si>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</si>
  <si>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</si>
  <si>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</si>
  <si>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</si>
  <si>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</si>
  <si>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</si>
  <si>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</si>
  <si>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</si>
  <si>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</si>
  <si>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</si>
  <si>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</si>
  <si>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</si>
  <si>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</si>
  <si>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</si>
  <si>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</si>
  <si>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</si>
  <si>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</si>
  <si>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</si>
  <si>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</si>
  <si>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</si>
  <si>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</si>
  <si>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</si>
  <si>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</si>
  <si>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</si>
  <si>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</si>
  <si>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</si>
  <si>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</si>
  <si>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</si>
  <si>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</si>
  <si>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</si>
  <si>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</si>
  <si>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</si>
  <si>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</si>
  <si>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</si>
  <si>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</si>
  <si>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</si>
  <si>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</si>
  <si>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</si>
  <si>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</si>
  <si>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</si>
  <si>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</si>
  <si>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</si>
  <si>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</si>
  <si>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</si>
  <si>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</si>
  <si>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</si>
  <si>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</si>
  <si>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</si>
  <si>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</si>
  <si>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</si>
  <si>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</si>
  <si>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</si>
  <si>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</si>
  <si>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</si>
  <si>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</si>
  <si>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</si>
  <si>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</si>
  <si>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</si>
  <si>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</si>
  <si>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</si>
  <si>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</si>
  <si>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</si>
  <si>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</si>
  <si>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</si>
  <si>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</si>
  <si>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</si>
  <si>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</si>
  <si>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</si>
  <si>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</si>
  <si>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</si>
  <si>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</si>
  <si>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</si>
  <si>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</si>
  <si>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</si>
  <si>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</si>
  <si>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</si>
  <si>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</si>
  <si>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</si>
  <si>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</si>
  <si>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</si>
  <si>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</si>
  <si>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</si>
  <si>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</si>
  <si>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</si>
  <si>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</si>
  <si>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</si>
  <si>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</si>
  <si>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</si>
  <si>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</si>
  <si>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</si>
  <si>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</si>
  <si>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</si>
  <si>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</si>
  <si>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</si>
  <si>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</si>
  <si>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</si>
  <si>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</si>
  <si>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</si>
  <si>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</si>
  <si>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</si>
  <si>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</si>
  <si>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</si>
  <si>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</si>
  <si>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</si>
  <si>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</si>
  <si>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</si>
  <si>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</si>
  <si>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</si>
  <si>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</si>
  <si>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</si>
  <si>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</si>
  <si>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</si>
  <si>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</si>
  <si>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</si>
  <si>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</si>
  <si>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</si>
  <si>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</si>
  <si>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</si>
  <si>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</si>
  <si>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</si>
  <si>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</si>
  <si>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</si>
  <si>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</si>
  <si>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</si>
  <si>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</si>
  <si>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</si>
  <si>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</si>
  <si>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</si>
  <si>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</si>
  <si>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</si>
  <si>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</si>
  <si>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</si>
  <si>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</si>
  <si>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</si>
  <si>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</si>
  <si>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</si>
  <si>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</si>
  <si>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</si>
  <si>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</si>
  <si>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</si>
  <si>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</si>
  <si>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</si>
  <si>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</si>
  <si>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</si>
  <si>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</si>
  <si>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</si>
  <si>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</si>
  <si>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</si>
  <si>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</si>
  <si>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</si>
  <si>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</si>
  <si>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</si>
  <si>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</si>
  <si>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</si>
  <si>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</si>
  <si>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</si>
  <si>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</si>
  <si>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</si>
  <si>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</si>
  <si>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</si>
  <si>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</si>
  <si>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</si>
  <si>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</si>
  <si>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</si>
  <si>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</si>
  <si>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</si>
  <si>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</si>
  <si>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</si>
  <si>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</si>
  <si>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</si>
  <si>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</si>
  <si>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</si>
  <si>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</si>
  <si>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</si>
  <si>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</si>
  <si>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</si>
  <si>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</si>
  <si>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</si>
  <si>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</si>
  <si>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</si>
  <si>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</si>
  <si>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</si>
  <si>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</si>
  <si>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</si>
  <si>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</si>
  <si>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</si>
  <si>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</si>
  <si>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</si>
  <si>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</si>
  <si>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</si>
  <si>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</si>
  <si>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</si>
  <si>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</si>
  <si>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</si>
  <si>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</si>
  <si>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</si>
  <si>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</si>
  <si>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</si>
  <si>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</si>
  <si>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</si>
  <si>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</si>
  <si>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</si>
  <si>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</si>
  <si>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</si>
  <si>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</si>
  <si>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</si>
  <si>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</si>
  <si>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</si>
  <si>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</si>
  <si>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</si>
  <si>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</si>
  <si>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</si>
  <si>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</si>
  <si>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</si>
  <si>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</si>
  <si>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</si>
  <si>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</si>
  <si>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</si>
  <si>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</si>
  <si>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</si>
  <si>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</si>
  <si>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</si>
  <si>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</si>
  <si>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</si>
  <si>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</si>
  <si>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</si>
  <si>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</si>
  <si>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</si>
  <si>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</si>
  <si>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</si>
  <si>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</si>
  <si>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</si>
  <si>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</si>
  <si>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</si>
  <si>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</si>
  <si>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</si>
  <si>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</si>
  <si>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</si>
  <si>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</si>
  <si>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</si>
  <si>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</si>
  <si>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</si>
  <si>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</si>
  <si>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</si>
  <si>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</si>
  <si>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</si>
  <si>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</si>
  <si>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</si>
  <si>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</si>
  <si>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</si>
  <si>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</si>
  <si>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</si>
  <si>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</si>
  <si>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</si>
  <si>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</si>
  <si>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</si>
  <si>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</si>
  <si>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</si>
  <si>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</si>
  <si>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</si>
  <si>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</si>
  <si>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</si>
  <si>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</si>
  <si>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</si>
  <si>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</si>
  <si>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</si>
  <si>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</si>
  <si>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</si>
  <si>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</si>
  <si>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</si>
  <si>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</si>
  <si>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</si>
  <si>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</si>
  <si>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</si>
  <si>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</si>
  <si>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</si>
  <si>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</si>
  <si>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</si>
  <si>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</si>
  <si>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</si>
  <si>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</si>
  <si>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</si>
  <si>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</si>
  <si>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</si>
  <si>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</si>
  <si>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</si>
  <si>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</si>
  <si>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</si>
  <si>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</si>
  <si>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</si>
  <si>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</si>
  <si>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</si>
  <si>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</si>
  <si>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</si>
  <si>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</si>
  <si>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</si>
  <si>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</si>
  <si>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</si>
  <si>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</si>
  <si>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</si>
  <si>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</si>
  <si>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</si>
  <si>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</si>
  <si>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</si>
  <si>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</si>
  <si>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</si>
  <si>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</si>
  <si>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</si>
  <si>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</si>
  <si>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</si>
  <si>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</si>
  <si>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</si>
  <si>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</si>
  <si>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</si>
  <si>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</si>
  <si>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</si>
  <si>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</si>
  <si>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</si>
  <si>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</si>
  <si>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</si>
  <si>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</si>
  <si>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</si>
  <si>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</si>
  <si>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</si>
  <si>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</si>
  <si>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</si>
  <si>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</si>
  <si>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</si>
  <si>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</si>
  <si>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</si>
  <si>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</si>
  <si>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</si>
  <si>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</si>
  <si>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</si>
  <si>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</si>
  <si>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</si>
  <si>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</si>
  <si>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</si>
  <si>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</si>
  <si>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</si>
  <si>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</si>
  <si>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</si>
  <si>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</si>
  <si>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</si>
  <si>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</si>
  <si>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</si>
  <si>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</si>
  <si>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</si>
  <si>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</si>
  <si>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</si>
  <si>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</si>
  <si>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</si>
  <si>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</si>
  <si>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</si>
  <si>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</si>
  <si>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</si>
  <si>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</si>
  <si>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</si>
  <si>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</si>
  <si>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</si>
  <si>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</si>
  <si>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</si>
  <si>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</si>
  <si>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</si>
  <si>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</si>
  <si>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</si>
  <si>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</si>
  <si>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</si>
  <si>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</si>
  <si>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</si>
  <si>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</si>
  <si>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</si>
  <si>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</si>
  <si>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</si>
  <si>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</si>
  <si>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</si>
  <si>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</si>
  <si>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</si>
  <si>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</si>
  <si>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</si>
  <si>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</si>
  <si>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</si>
  <si>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</si>
  <si>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</si>
  <si>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</si>
  <si>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</si>
  <si>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</si>
  <si>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</si>
  <si>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</si>
  <si>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</si>
  <si>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</si>
  <si>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</si>
  <si>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</si>
  <si>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</si>
  <si>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</si>
  <si>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</si>
  <si>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</si>
  <si>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</si>
  <si>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</si>
  <si>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</si>
  <si>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</si>
  <si>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</si>
  <si>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</si>
  <si>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</si>
  <si>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</si>
  <si>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</si>
  <si>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</si>
  <si>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</si>
  <si>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</si>
  <si>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</si>
  <si>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</si>
  <si>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</si>
  <si>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</si>
  <si>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</si>
  <si>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</si>
  <si>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</si>
  <si>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</si>
  <si>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</si>
  <si>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</si>
  <si>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</si>
  <si>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</si>
  <si>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</si>
  <si>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</si>
  <si>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</si>
  <si>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</si>
  <si>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</si>
  <si>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</si>
  <si>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</si>
  <si>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</si>
  <si>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</si>
  <si>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</si>
  <si>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</si>
  <si>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</si>
  <si>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</si>
  <si>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</si>
  <si>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</si>
  <si>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</si>
  <si>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</si>
  <si>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</si>
  <si>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</si>
  <si>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</si>
  <si>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</si>
  <si>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</si>
  <si>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</si>
  <si>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</si>
  <si>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</si>
  <si>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</si>
  <si>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</si>
  <si>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</si>
  <si>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</si>
  <si>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</si>
  <si>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</si>
  <si>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</si>
  <si>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</si>
  <si>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</si>
  <si>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</si>
  <si>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</si>
  <si>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</si>
  <si>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</si>
  <si>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</si>
  <si>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</si>
  <si>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</si>
  <si>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</si>
  <si>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</si>
  <si>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</si>
  <si>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</si>
  <si>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</si>
  <si>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</si>
  <si>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</si>
  <si>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</si>
  <si>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</si>
  <si>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</si>
  <si>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</si>
  <si>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</si>
  <si>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</si>
  <si>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</si>
  <si>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</si>
  <si>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</si>
  <si>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</si>
  <si>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</si>
  <si>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</si>
  <si>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</si>
  <si>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</si>
  <si>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</si>
  <si>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</si>
  <si>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</si>
  <si>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</si>
  <si>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</si>
  <si>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</si>
  <si>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</si>
  <si>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</si>
  <si>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</si>
  <si>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</si>
  <si>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</si>
  <si>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</si>
  <si>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</si>
  <si>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</si>
  <si>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</si>
  <si>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</si>
  <si>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</si>
  <si>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</si>
  <si>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</si>
  <si>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</si>
  <si>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</si>
  <si>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</si>
  <si>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</si>
  <si>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</si>
  <si>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</si>
  <si>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</si>
  <si>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</si>
  <si>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</si>
  <si>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</si>
  <si>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</si>
  <si>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</si>
  <si>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</si>
  <si>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</si>
  <si>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</si>
  <si>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</si>
  <si>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</si>
  <si>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</si>
  <si>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</si>
  <si>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</si>
  <si>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</si>
  <si>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</si>
  <si>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</si>
  <si>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</si>
  <si>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</si>
  <si>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</si>
  <si>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</si>
  <si>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</si>
  <si>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</si>
  <si>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</si>
  <si>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</si>
  <si>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</si>
  <si>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</si>
  <si>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</si>
  <si>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</si>
  <si>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</si>
  <si>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</si>
  <si>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</si>
  <si>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</si>
  <si>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</si>
  <si>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</si>
  <si>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</si>
  <si>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</si>
  <si>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</si>
  <si>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</si>
  <si>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</si>
  <si>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</si>
  <si>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</si>
  <si>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</si>
  <si>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</si>
  <si>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</si>
  <si>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</si>
  <si>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</si>
  <si>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</si>
  <si>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</si>
  <si>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</si>
  <si>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</si>
  <si>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</si>
  <si>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</si>
  <si>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</si>
  <si>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</si>
  <si>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</si>
  <si>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</si>
  <si>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</si>
  <si>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</si>
  <si>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</si>
  <si>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</si>
  <si>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</si>
  <si>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</si>
  <si>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</si>
  <si>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</si>
  <si>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</si>
  <si>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</si>
  <si>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</si>
  <si>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</si>
  <si>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</si>
  <si>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</si>
  <si>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</si>
  <si>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</si>
  <si>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</si>
  <si>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</si>
  <si>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</si>
  <si>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</si>
  <si>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</si>
  <si>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</si>
  <si>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</si>
  <si>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</si>
  <si>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</si>
  <si>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</si>
  <si>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</si>
  <si>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</si>
  <si>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</si>
  <si>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</si>
  <si>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</si>
  <si>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</si>
  <si>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</si>
  <si>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</si>
  <si>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</si>
  <si>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</si>
  <si>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</si>
  <si>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</si>
  <si>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</si>
  <si>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</si>
  <si>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</si>
  <si>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</si>
  <si>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</si>
  <si>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</si>
  <si>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</si>
  <si>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</si>
  <si>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</si>
  <si>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</si>
  <si>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</si>
  <si>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</si>
  <si>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</si>
  <si>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</si>
  <si>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</si>
  <si>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</si>
  <si>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</si>
  <si>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</si>
  <si>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</si>
  <si>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</si>
  <si>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</si>
  <si>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</si>
  <si>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</si>
  <si>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</si>
  <si>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</si>
  <si>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</si>
  <si>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</si>
  <si>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</si>
  <si>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</si>
  <si>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</si>
  <si>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</si>
  <si>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</si>
  <si>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</si>
  <si>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</si>
  <si>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</si>
  <si>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</si>
  <si>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</si>
  <si>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</si>
  <si>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</si>
  <si>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</si>
  <si>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</si>
  <si>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</si>
  <si>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</si>
  <si>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</si>
  <si>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</si>
  <si>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</si>
  <si>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</si>
  <si>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</si>
  <si>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</si>
  <si>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</si>
  <si>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</si>
  <si>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</si>
  <si>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</si>
  <si>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</si>
  <si>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</si>
  <si>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</si>
  <si>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</si>
  <si>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</si>
  <si>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</si>
  <si>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</si>
  <si>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</si>
  <si>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</si>
  <si>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</si>
  <si>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</si>
  <si>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</si>
  <si>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</si>
  <si>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</si>
  <si>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</si>
  <si>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</si>
  <si>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</si>
  <si>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</si>
  <si>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</si>
  <si>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</si>
  <si>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</si>
  <si>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</si>
  <si>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</si>
  <si>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</si>
  <si>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</si>
  <si>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</si>
  <si>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</si>
  <si>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</si>
  <si>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</si>
  <si>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</si>
  <si>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</si>
  <si>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</si>
  <si>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</si>
  <si>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</si>
  <si>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</si>
  <si>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</si>
  <si>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</si>
  <si>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</si>
  <si>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</si>
  <si>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</si>
  <si>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</si>
  <si>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</si>
  <si>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</si>
  <si>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</si>
  <si>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</si>
  <si>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</si>
  <si>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</si>
  <si>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</si>
  <si>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</si>
  <si>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</si>
  <si>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</si>
  <si>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</si>
  <si>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</si>
  <si>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</si>
  <si>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</si>
  <si>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</si>
  <si>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</si>
  <si>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</si>
  <si>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</si>
  <si>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</si>
  <si>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</si>
  <si>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</si>
  <si>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</si>
  <si>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</si>
  <si>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</si>
  <si>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</si>
  <si>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</si>
  <si>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</si>
  <si>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</si>
  <si>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</si>
  <si>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</si>
  <si>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</si>
  <si>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</si>
  <si>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</si>
  <si>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</si>
  <si>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</si>
  <si>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</si>
  <si>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</si>
  <si>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</si>
  <si>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</si>
  <si>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</si>
  <si>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</si>
  <si>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</si>
  <si>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</si>
  <si>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</si>
  <si>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</si>
  <si>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</si>
  <si>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</si>
  <si>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</si>
  <si>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</si>
  <si>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</si>
  <si>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</si>
  <si>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</si>
  <si>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</si>
  <si>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</si>
  <si>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</si>
  <si>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</si>
  <si>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</si>
  <si>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</si>
  <si>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</si>
  <si>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</si>
  <si>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</si>
  <si>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</si>
  <si>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</si>
  <si>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</si>
  <si>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</si>
  <si>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</si>
  <si>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</si>
  <si>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</si>
  <si>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</si>
  <si>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</si>
  <si>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</si>
  <si>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</si>
  <si>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</si>
  <si>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</si>
  <si>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</si>
  <si>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</si>
  <si>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</si>
  <si>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</si>
  <si>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</si>
  <si>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</si>
  <si>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</si>
  <si>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</si>
  <si>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</si>
  <si>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</si>
  <si>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</si>
  <si>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</si>
  <si>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</si>
  <si>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</si>
  <si>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</si>
  <si>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</si>
  <si>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</si>
  <si>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</si>
  <si>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</si>
  <si>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</si>
  <si>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</si>
  <si>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</si>
  <si>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</si>
  <si>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</si>
  <si>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</si>
  <si>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</si>
  <si>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</si>
  <si>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</si>
  <si>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</si>
  <si>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</si>
  <si>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</si>
  <si>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</si>
  <si>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</si>
  <si>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</si>
  <si>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</si>
  <si>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</si>
  <si>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</si>
  <si>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</si>
  <si>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</si>
  <si>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</si>
  <si>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</si>
  <si>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</si>
  <si>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</si>
  <si>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</si>
  <si>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</si>
  <si>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</si>
  <si>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</si>
  <si>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</si>
  <si>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</si>
  <si>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</si>
  <si>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</si>
  <si>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</si>
  <si>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</si>
  <si>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</si>
  <si>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</si>
  <si>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</si>
  <si>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</si>
  <si>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</si>
  <si>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</si>
  <si>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</si>
  <si>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</si>
  <si>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</si>
  <si>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</si>
  <si>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</si>
  <si>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</si>
  <si>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</si>
  <si>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</si>
  <si>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</si>
  <si>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</si>
  <si>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</si>
  <si>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</si>
  <si>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</si>
  <si>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</si>
  <si>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</si>
  <si>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</si>
  <si>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</si>
  <si>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</si>
  <si>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</si>
  <si>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</si>
  <si>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</si>
  <si>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</si>
  <si>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</si>
  <si>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</si>
  <si>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</si>
  <si>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</si>
  <si>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</si>
  <si>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</si>
  <si>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</si>
  <si>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</si>
  <si>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</si>
  <si>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</si>
  <si>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</si>
  <si>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</si>
  <si>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</si>
  <si>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</si>
  <si>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</si>
  <si>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</si>
  <si>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</si>
  <si>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</si>
  <si>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</si>
  <si>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</si>
  <si>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</si>
  <si>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</si>
  <si>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</si>
  <si>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</si>
  <si>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</si>
  <si>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</si>
  <si>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</si>
  <si>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</si>
  <si>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</si>
  <si>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</si>
  <si>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</si>
  <si>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</si>
  <si>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</si>
  <si>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</si>
  <si>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</si>
  <si>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</si>
  <si>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</si>
  <si>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</si>
  <si>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</si>
  <si>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</si>
  <si>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</si>
  <si>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</si>
  <si>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</si>
  <si>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</si>
  <si>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</si>
  <si>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</si>
  <si>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</si>
  <si>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</si>
  <si>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</si>
  <si>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</si>
  <si>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</si>
  <si>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</si>
  <si>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</si>
  <si>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</si>
  <si>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</si>
  <si>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</si>
  <si>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</si>
  <si>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</si>
  <si>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</si>
  <si>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</si>
  <si>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</si>
  <si>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</si>
  <si>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</si>
  <si>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</si>
  <si>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</si>
  <si>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</si>
  <si>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</si>
  <si>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</si>
  <si>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</si>
  <si>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</si>
  <si>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</si>
  <si>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</si>
  <si>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</si>
  <si>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</si>
  <si>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</si>
  <si>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</si>
  <si>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</si>
  <si>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</si>
  <si>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</si>
  <si>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</si>
  <si>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</si>
  <si>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</si>
  <si>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</si>
  <si>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</si>
  <si>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</si>
  <si>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</si>
  <si>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</si>
  <si>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</si>
  <si>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</si>
  <si>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</si>
  <si>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</si>
  <si>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</si>
  <si>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</si>
  <si>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</si>
  <si>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</si>
  <si>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</si>
  <si>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</si>
  <si>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</si>
  <si>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</si>
  <si>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</si>
  <si>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</si>
  <si>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</si>
  <si>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</si>
  <si>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</si>
  <si>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</si>
  <si>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</si>
  <si>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</si>
  <si>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</si>
  <si>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</si>
  <si>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</si>
  <si>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</si>
  <si>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</si>
  <si>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</si>
  <si>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</si>
  <si>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</si>
  <si>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</si>
  <si>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</si>
  <si>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</si>
  <si>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</si>
  <si>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</si>
  <si>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</si>
  <si>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</si>
  <si>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</si>
  <si>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</si>
  <si>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</si>
  <si>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</si>
  <si>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</si>
  <si>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</si>
  <si>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</si>
  <si>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</si>
  <si>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</si>
  <si>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</si>
  <si>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</si>
  <si>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</si>
  <si>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</si>
  <si>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</si>
  <si>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</si>
  <si>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</si>
  <si>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</si>
  <si>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</si>
  <si>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</si>
  <si>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</si>
  <si>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</si>
  <si>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</si>
  <si>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</si>
  <si>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</si>
  <si>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</si>
  <si>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</si>
  <si>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</si>
  <si>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</si>
  <si>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</si>
  <si>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</si>
  <si>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</si>
  <si>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</si>
  <si>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</si>
  <si>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</si>
  <si>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</si>
  <si>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</si>
  <si>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</si>
  <si>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</si>
  <si>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</si>
  <si>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</si>
  <si>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</si>
  <si>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</si>
  <si>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</si>
  <si>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</si>
  <si>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</si>
  <si>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</si>
  <si>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</si>
  <si>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</si>
  <si>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</si>
  <si>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</si>
  <si>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</si>
  <si>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</si>
  <si>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</si>
  <si>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</si>
  <si>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</si>
  <si>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</si>
  <si>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</si>
  <si>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</si>
  <si>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</si>
  <si>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</si>
  <si>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</si>
  <si>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</si>
  <si>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</si>
  <si>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</si>
  <si>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</si>
  <si>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</si>
  <si>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</si>
  <si>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</si>
  <si>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</si>
  <si>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</si>
  <si>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</si>
  <si>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</si>
  <si>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</si>
  <si>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</si>
  <si>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</si>
  <si>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</si>
  <si>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</si>
  <si>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</si>
  <si>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</si>
  <si>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</si>
  <si>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</si>
  <si>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</si>
  <si>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</si>
  <si>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</si>
  <si>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</si>
  <si>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</si>
  <si>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</si>
  <si>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</si>
  <si>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</si>
  <si>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</si>
  <si>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</si>
  <si>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</si>
  <si>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</si>
  <si>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</si>
  <si>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</si>
  <si>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</si>
  <si>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</si>
  <si>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</si>
  <si>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</si>
  <si>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</si>
  <si>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</si>
  <si>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</si>
  <si>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</si>
  <si>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</si>
  <si>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</si>
  <si>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</si>
  <si>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</si>
  <si>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</si>
  <si>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</si>
  <si>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</si>
  <si>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</si>
  <si>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</si>
  <si>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</si>
  <si>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</si>
  <si>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</si>
  <si>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</si>
  <si>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</si>
  <si>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</si>
  <si>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</si>
  <si>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</si>
  <si>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</si>
  <si>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</si>
  <si>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</si>
  <si>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</si>
  <si>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</si>
  <si>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</si>
  <si>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</si>
  <si>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</si>
  <si>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</si>
  <si>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</si>
  <si>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</si>
  <si>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</si>
  <si>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</si>
  <si>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</si>
  <si>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</si>
  <si>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</si>
  <si>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</si>
  <si>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</si>
  <si>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</si>
  <si>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</si>
  <si>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</si>
  <si>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</si>
  <si>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</si>
  <si>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</si>
  <si>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</si>
  <si>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</si>
  <si>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</si>
  <si>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</si>
  <si>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</si>
  <si>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</si>
  <si>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</si>
  <si>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</si>
  <si>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</si>
  <si>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</si>
  <si>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</si>
  <si>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</si>
  <si>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</si>
  <si>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</si>
  <si>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</si>
  <si>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</si>
  <si>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</si>
  <si>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</si>
  <si>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</si>
  <si>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</si>
  <si>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</si>
  <si>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</si>
  <si>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</si>
  <si>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</si>
  <si>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</si>
  <si>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</si>
  <si>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</si>
  <si>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</si>
  <si>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</si>
  <si>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</si>
  <si>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</si>
  <si>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</si>
  <si>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</si>
  <si>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</si>
  <si>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</si>
  <si>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</si>
  <si>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</si>
  <si>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</si>
  <si>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</si>
  <si>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</si>
  <si>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</si>
  <si>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</si>
  <si>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</si>
  <si>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</si>
  <si>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</si>
  <si>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</si>
  <si>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</si>
  <si>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</si>
  <si>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</si>
  <si>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</si>
  <si>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</si>
  <si>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</si>
  <si>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</si>
  <si>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</si>
  <si>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</si>
  <si>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</si>
  <si>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</si>
  <si>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</si>
  <si>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</si>
  <si>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</si>
  <si>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</si>
  <si>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</si>
  <si>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</si>
  <si>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</si>
  <si>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</si>
  <si>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</si>
  <si>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</si>
  <si>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</si>
  <si>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</si>
  <si>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</si>
  <si>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</si>
  <si>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</si>
  <si>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</si>
  <si>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</si>
  <si>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</si>
  <si>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</si>
  <si>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</si>
  <si>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</si>
  <si>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</si>
  <si>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</si>
  <si>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</si>
  <si>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</si>
  <si>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</si>
  <si>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</si>
  <si>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</si>
  <si>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</si>
  <si>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</si>
  <si>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</si>
  <si>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</si>
  <si>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</si>
  <si>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</si>
  <si>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</si>
  <si>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</si>
  <si>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</si>
  <si>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</si>
  <si>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</si>
  <si>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</si>
  <si>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</si>
  <si>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</si>
  <si>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</si>
  <si>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</si>
  <si>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</si>
  <si>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</si>
  <si>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</si>
  <si>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</si>
  <si>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</si>
  <si>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</si>
  <si>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</si>
  <si>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</si>
  <si>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</si>
  <si>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</si>
  <si>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</si>
  <si>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</si>
  <si>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</si>
  <si>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</si>
  <si>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</si>
  <si>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</si>
  <si>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</si>
  <si>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</si>
  <si>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</si>
  <si>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</si>
  <si>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</si>
  <si>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</si>
  <si>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</si>
  <si>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</si>
  <si>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</si>
  <si>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</si>
  <si>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</si>
  <si>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</si>
  <si>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</si>
  <si>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</si>
  <si>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</si>
  <si>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</si>
  <si>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</si>
  <si>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</si>
  <si>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</si>
  <si>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</si>
  <si>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</si>
  <si>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</si>
  <si>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</si>
  <si>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</si>
  <si>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</si>
  <si>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</si>
  <si>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</si>
  <si>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</si>
  <si>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</si>
  <si>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</si>
  <si>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</si>
  <si>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</si>
  <si>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</si>
  <si>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</si>
  <si>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</si>
  <si>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</si>
  <si>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</si>
  <si>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</si>
  <si>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</si>
  <si>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</si>
  <si>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</si>
  <si>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</si>
  <si>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</si>
  <si>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</si>
  <si>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</si>
  <si>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</si>
  <si>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</si>
  <si>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</si>
  <si>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</si>
  <si>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</si>
  <si>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</si>
  <si>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</si>
  <si>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</si>
  <si>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</si>
  <si>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</si>
  <si>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</si>
  <si>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</si>
  <si>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</si>
  <si>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</si>
  <si>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</si>
  <si>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</si>
  <si>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</si>
  <si>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</si>
  <si>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</si>
  <si>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</si>
  <si>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</si>
  <si>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</si>
  <si>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</si>
  <si>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</si>
  <si>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</si>
  <si>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</si>
  <si>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</si>
  <si>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</si>
  <si>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</si>
  <si>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</si>
  <si>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</si>
  <si>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</si>
  <si>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</si>
  <si>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</si>
  <si>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</si>
  <si>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</si>
  <si>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</si>
  <si>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</si>
  <si>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</si>
  <si>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</si>
  <si>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</si>
  <si>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</si>
  <si>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</si>
  <si>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</si>
  <si>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</si>
  <si>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</si>
  <si>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</si>
  <si>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</si>
  <si>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</si>
  <si>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</si>
  <si>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</si>
  <si>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</si>
  <si>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</si>
  <si>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</si>
  <si>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</si>
  <si>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</si>
  <si>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</si>
  <si>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</si>
  <si>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</si>
  <si>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</si>
  <si>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</si>
  <si>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</si>
  <si>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</si>
  <si>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</si>
  <si>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</si>
  <si>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</si>
  <si>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</si>
  <si>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</si>
  <si>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</si>
  <si>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</si>
  <si>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</si>
  <si>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</si>
  <si>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</si>
  <si>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</si>
  <si>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</si>
  <si>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</si>
  <si>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</si>
  <si>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</si>
  <si>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</si>
  <si>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</si>
  <si>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</si>
  <si>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</si>
  <si>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</si>
  <si>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</si>
  <si>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</si>
  <si>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</si>
  <si>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</si>
  <si>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</si>
  <si>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</si>
  <si>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</si>
  <si>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</si>
  <si>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</si>
  <si>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</si>
  <si>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</si>
  <si>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</si>
  <si>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</si>
  <si>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</si>
  <si>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</si>
  <si>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</si>
  <si>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</si>
  <si>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</si>
  <si>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</si>
  <si>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</si>
  <si>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</si>
  <si>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</si>
  <si>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</si>
  <si>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</si>
  <si>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</si>
  <si>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</si>
  <si>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</si>
  <si>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</si>
  <si>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</si>
  <si>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</si>
  <si>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</si>
  <si>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</si>
  <si>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</si>
  <si>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</si>
  <si>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</si>
  <si>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</si>
  <si>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</si>
  <si>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</si>
  <si>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</si>
  <si>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</si>
  <si>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</si>
  <si>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</si>
  <si>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</si>
  <si>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</si>
  <si>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</si>
  <si>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</si>
  <si>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</si>
  <si>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</si>
  <si>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</si>
  <si>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</si>
  <si>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</si>
  <si>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</si>
  <si>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</si>
  <si>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</si>
  <si>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</si>
  <si>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</si>
  <si>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</si>
  <si>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</si>
  <si>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</si>
  <si>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</si>
  <si>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</si>
  <si>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</si>
  <si>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</si>
  <si>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</si>
  <si>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</si>
  <si>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</si>
  <si>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</si>
  <si>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</si>
  <si>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</si>
  <si>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</si>
  <si>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</si>
  <si>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</si>
  <si>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</si>
  <si>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</si>
  <si>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</si>
  <si>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</si>
  <si>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</si>
  <si>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</si>
  <si>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</si>
  <si>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</si>
  <si>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</si>
  <si>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</si>
  <si>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</si>
  <si>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</si>
  <si>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</si>
  <si>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</si>
  <si>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</si>
  <si>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</si>
  <si>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</si>
  <si>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</si>
  <si>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</si>
  <si>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</si>
  <si>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</si>
  <si>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</si>
  <si>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</si>
  <si>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</si>
  <si>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</si>
  <si>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</si>
  <si>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</si>
  <si>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</si>
  <si>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</si>
  <si>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</si>
  <si>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</si>
  <si>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</si>
  <si>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</si>
  <si>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</si>
  <si>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</si>
  <si>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</si>
  <si>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</si>
  <si>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</si>
  <si>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</si>
  <si>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</si>
  <si>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</si>
  <si>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</si>
  <si>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</si>
  <si>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</si>
  <si>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</si>
  <si>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</si>
  <si>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</si>
  <si>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</si>
  <si>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</si>
  <si>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</si>
  <si>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</si>
  <si>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</si>
  <si>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</si>
  <si>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</si>
  <si>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</si>
  <si>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</si>
  <si>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</si>
  <si>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</si>
  <si>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</si>
  <si>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</si>
  <si>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</si>
  <si>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</si>
  <si>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</si>
  <si>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</si>
  <si>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</si>
  <si>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</si>
  <si>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</si>
  <si>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</si>
  <si>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</si>
  <si>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</si>
  <si>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</si>
  <si>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</si>
  <si>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</si>
  <si>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</si>
  <si>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</si>
  <si>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</si>
  <si>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</si>
  <si>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</si>
  <si>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</si>
  <si>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</si>
  <si>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</si>
  <si>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</si>
  <si>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</si>
  <si>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</si>
  <si>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</si>
  <si>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</si>
  <si>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</si>
  <si>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</si>
  <si>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</si>
  <si>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</si>
  <si>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</si>
  <si>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</si>
  <si>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</si>
  <si>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</si>
  <si>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</si>
  <si>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</si>
  <si>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</si>
  <si>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</si>
  <si>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</si>
  <si>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</si>
  <si>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</si>
  <si>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</si>
  <si>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</si>
  <si>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</si>
  <si>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</si>
  <si>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</si>
  <si>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</si>
  <si>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</si>
  <si>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</si>
  <si>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</si>
  <si>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</si>
  <si>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</si>
  <si>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</si>
  <si>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</si>
  <si>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</si>
  <si>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</si>
  <si>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</si>
  <si>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</si>
  <si>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</si>
  <si>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</si>
  <si>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</si>
  <si>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</si>
  <si>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</si>
  <si>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</si>
  <si>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</si>
  <si>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</si>
  <si>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</si>
  <si>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</si>
  <si>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</si>
  <si>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</si>
  <si>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</si>
  <si>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</si>
  <si>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</si>
  <si>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</si>
  <si>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</si>
  <si>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</si>
  <si>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</si>
  <si>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</si>
  <si>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</si>
  <si>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</si>
  <si>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</si>
  <si>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</si>
  <si>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</si>
  <si>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</si>
  <si>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</si>
  <si>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</si>
  <si>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</si>
  <si>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</si>
  <si>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</si>
  <si>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</si>
  <si>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</si>
  <si>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</si>
  <si>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</si>
  <si>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</si>
  <si>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</si>
  <si>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</si>
  <si>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</si>
  <si>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</si>
  <si>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</si>
  <si>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</si>
  <si>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</si>
  <si>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</si>
  <si>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</si>
  <si>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</si>
  <si>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</si>
  <si>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</si>
  <si>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</si>
  <si>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</si>
  <si>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</si>
  <si>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</si>
  <si>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</si>
  <si>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</si>
  <si>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</si>
  <si>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</si>
  <si>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</si>
  <si>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</si>
  <si>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</si>
  <si>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</si>
  <si>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</si>
  <si>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</si>
  <si>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</si>
  <si>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</si>
  <si>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</si>
  <si>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</si>
  <si>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</si>
  <si>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</si>
  <si>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</si>
  <si>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</si>
  <si>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</si>
  <si>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</si>
  <si>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</si>
  <si>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</si>
  <si>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</si>
  <si>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</si>
  <si>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</si>
  <si>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</si>
  <si>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</si>
  <si>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</si>
  <si>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</si>
  <si>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</si>
  <si>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</si>
  <si>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</si>
  <si>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</si>
  <si>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</si>
  <si>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</si>
  <si>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</si>
  <si>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</si>
  <si>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</si>
  <si>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</si>
  <si>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</si>
  <si>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</si>
  <si>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</si>
  <si>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</si>
  <si>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</si>
  <si>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</si>
  <si>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</si>
  <si>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</si>
  <si>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</si>
  <si>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</si>
  <si>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</si>
  <si>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</si>
  <si>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</si>
  <si>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</si>
  <si>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</si>
  <si>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</si>
  <si>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</si>
  <si>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</si>
  <si>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</si>
  <si>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</si>
  <si>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</si>
  <si>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</si>
  <si>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</si>
  <si>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</si>
  <si>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</si>
  <si>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</si>
  <si>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</si>
  <si>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</si>
  <si>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</si>
  <si>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</si>
  <si>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</si>
  <si>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</si>
  <si>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</si>
  <si>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</si>
  <si>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</si>
  <si>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</si>
  <si>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</si>
  <si>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</si>
  <si>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</si>
  <si>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</si>
  <si>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</si>
  <si>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</si>
  <si>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</si>
  <si>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</si>
  <si>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</si>
  <si>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</si>
  <si>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</si>
  <si>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</si>
  <si>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</si>
  <si>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</si>
  <si>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</si>
  <si>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</si>
  <si>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</si>
  <si>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</si>
  <si>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</si>
  <si>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</si>
  <si>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</si>
  <si>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</si>
  <si>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</si>
  <si>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</si>
  <si>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</si>
  <si>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</si>
  <si>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</si>
  <si>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</si>
  <si>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</si>
  <si>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</si>
  <si>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</si>
  <si>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</si>
  <si>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</si>
  <si>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</si>
  <si>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</si>
  <si>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</si>
  <si>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</si>
  <si>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</si>
  <si>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</si>
  <si>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</si>
  <si>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</si>
  <si>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</si>
  <si>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</si>
  <si>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</si>
  <si>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</si>
  <si>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</si>
  <si>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</si>
  <si>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</si>
  <si>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</si>
  <si>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</si>
  <si>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</si>
  <si>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</si>
  <si>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</si>
  <si>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</si>
  <si>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</si>
  <si>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</si>
  <si>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</si>
  <si>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</si>
  <si>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</si>
  <si>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</si>
  <si>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</si>
  <si>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</si>
  <si>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</si>
  <si>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</si>
  <si>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</si>
  <si>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</si>
  <si>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</si>
  <si>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</si>
  <si>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</si>
  <si>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</si>
  <si>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</si>
  <si>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</si>
  <si>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</si>
  <si>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</si>
  <si>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</si>
  <si>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</si>
  <si>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</si>
  <si>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</si>
  <si>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</si>
  <si>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</si>
  <si>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</si>
  <si>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</si>
  <si>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</si>
  <si>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</si>
  <si>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</si>
  <si>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</si>
  <si>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</si>
  <si>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</si>
  <si>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</si>
  <si>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</si>
  <si>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</si>
  <si>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</si>
  <si>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</si>
  <si>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</si>
  <si>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</si>
  <si>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</si>
  <si>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</si>
  <si>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</si>
  <si>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</si>
  <si>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</si>
  <si>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</si>
  <si>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</si>
  <si>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</si>
  <si>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</si>
  <si>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</si>
  <si>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</si>
  <si>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</si>
  <si>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</si>
  <si>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</si>
  <si>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</si>
  <si>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</si>
  <si>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</si>
  <si>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</si>
  <si>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</si>
  <si>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</si>
  <si>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</si>
  <si>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</si>
  <si>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</si>
  <si>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</si>
  <si>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</si>
  <si>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</si>
  <si>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</si>
  <si>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</si>
  <si>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</si>
  <si>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</si>
  <si>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</si>
  <si>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</si>
  <si>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</si>
  <si>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</si>
  <si>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</si>
  <si>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</si>
  <si>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</si>
  <si>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</si>
  <si>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</si>
  <si>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</si>
  <si>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</si>
  <si>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</si>
  <si>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</si>
  <si>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</si>
  <si>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</si>
  <si>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</si>
  <si>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</si>
  <si>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</si>
  <si>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</si>
  <si>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</si>
  <si>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</si>
  <si>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</si>
  <si>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</si>
  <si>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</si>
  <si>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</si>
  <si>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</si>
  <si>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</si>
  <si>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</si>
  <si>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</si>
  <si>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</si>
  <si>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</si>
  <si>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</si>
  <si>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</si>
  <si>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</si>
  <si>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</si>
  <si>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</si>
  <si>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</si>
  <si>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</si>
  <si>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</si>
  <si>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</si>
  <si>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</si>
  <si>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</si>
  <si>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</si>
  <si>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</si>
  <si>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</si>
  <si>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</si>
  <si>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</si>
  <si>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</si>
  <si>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</si>
  <si>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</si>
  <si>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</si>
  <si>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</si>
  <si>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</si>
  <si>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</si>
  <si>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</si>
  <si>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</si>
  <si>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</si>
  <si>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</si>
  <si>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</si>
  <si>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</si>
  <si>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</si>
  <si>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</si>
  <si>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</si>
  <si>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</si>
  <si>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</si>
  <si>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</si>
  <si>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</si>
  <si>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</si>
  <si>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</si>
  <si>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</si>
  <si>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</si>
  <si>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</si>
  <si>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</si>
  <si>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</si>
  <si>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</si>
  <si>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</si>
  <si>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</si>
  <si>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</si>
  <si>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</si>
  <si>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</si>
  <si>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</si>
  <si>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</si>
  <si>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</si>
  <si>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</si>
  <si>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</si>
  <si>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</si>
  <si>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</si>
  <si>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</si>
  <si>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</si>
  <si>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</si>
  <si>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</si>
  <si>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</si>
  <si>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</si>
  <si>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</si>
  <si>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</si>
  <si>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</si>
  <si>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</si>
  <si>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</si>
  <si>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</si>
  <si>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</si>
  <si>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</si>
  <si>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</si>
  <si>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</si>
  <si>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</si>
  <si>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</si>
  <si>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</si>
  <si>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</si>
  <si>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</si>
  <si>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</si>
  <si>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</si>
  <si>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</si>
  <si>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</si>
  <si>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</si>
  <si>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</si>
  <si>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</si>
  <si>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</si>
  <si>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</si>
  <si>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</si>
  <si>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</si>
  <si>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</si>
  <si>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</si>
  <si>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</si>
  <si>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</si>
  <si>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</si>
  <si>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</si>
  <si>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</si>
  <si>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</si>
  <si>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</si>
  <si>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</si>
  <si>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</si>
  <si>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</si>
  <si>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</si>
  <si>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</si>
  <si>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</si>
  <si>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</si>
  <si>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</si>
  <si>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</si>
  <si>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</si>
  <si>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</si>
  <si>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</si>
  <si>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</si>
  <si>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</si>
  <si>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</si>
  <si>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</si>
  <si>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</si>
  <si>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</si>
  <si>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</si>
  <si>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</si>
  <si>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</si>
  <si>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</si>
  <si>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</si>
  <si>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</si>
  <si>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</si>
  <si>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</si>
  <si>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</si>
  <si>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</si>
  <si>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</si>
  <si>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</si>
  <si>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</si>
  <si>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</si>
  <si>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</si>
  <si>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</si>
  <si>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</si>
  <si>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</si>
  <si>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</si>
  <si>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</si>
  <si>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</si>
  <si>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</si>
  <si>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</si>
  <si>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</si>
  <si>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</si>
  <si>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</si>
  <si>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</si>
  <si>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</si>
  <si>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</si>
  <si>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</si>
  <si>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</si>
  <si>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</si>
  <si>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</si>
  <si>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</si>
  <si>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</si>
  <si>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</si>
  <si>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</si>
  <si>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</si>
  <si>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</si>
  <si>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</si>
  <si>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</si>
  <si>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</si>
  <si>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</si>
  <si>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</si>
  <si>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</si>
  <si>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</si>
  <si>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</si>
  <si>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</si>
  <si>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</si>
  <si>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</si>
  <si>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</si>
  <si>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</si>
  <si>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</si>
  <si>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</si>
  <si>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</si>
  <si>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</si>
  <si>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</si>
  <si>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</si>
  <si>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</si>
  <si>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</si>
  <si>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</si>
  <si>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</si>
  <si>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</si>
  <si>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</si>
  <si>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</si>
  <si>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</si>
  <si>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</si>
  <si>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</si>
  <si>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</si>
  <si>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</si>
  <si>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</si>
  <si>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</si>
  <si>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</si>
  <si>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</si>
  <si>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</si>
  <si>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</si>
  <si>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</si>
  <si>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</si>
  <si>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</si>
  <si>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</si>
  <si>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</si>
  <si>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</si>
  <si>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</si>
  <si>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</si>
  <si>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</si>
  <si>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</si>
  <si>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</si>
  <si>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</si>
  <si>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</si>
  <si>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</si>
  <si>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</si>
  <si>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</si>
  <si>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</si>
  <si>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</si>
  <si>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</si>
  <si>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</si>
  <si>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</si>
  <si>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</si>
  <si>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</si>
  <si>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</si>
  <si>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</si>
  <si>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</si>
  <si>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</si>
  <si>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</si>
  <si>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</si>
  <si>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</si>
  <si>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</si>
  <si>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</si>
  <si>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</si>
  <si>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</si>
  <si>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</si>
  <si>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</si>
  <si>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</si>
  <si>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</si>
  <si>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</si>
  <si>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</si>
  <si>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</si>
  <si>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</si>
  <si>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</si>
  <si>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</si>
  <si>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</si>
  <si>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</si>
  <si>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</si>
  <si>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</si>
  <si>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</si>
  <si>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</si>
  <si>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</si>
  <si>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</si>
  <si>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</si>
  <si>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</si>
  <si>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</si>
  <si>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</si>
  <si>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</si>
  <si>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</si>
  <si>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</si>
  <si>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</si>
  <si>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抵押</t>
  </si>
  <si>
    <t>房地产抵押价值</t>
  </si>
  <si>
    <t>恒大新世界租赁信息汇总表</t>
  </si>
  <si>
    <t>区域</t>
  </si>
  <si>
    <t>面积</t>
  </si>
  <si>
    <t>出售情况</t>
  </si>
  <si>
    <t>租赁商铺编号</t>
  </si>
  <si>
    <t>租赁情况</t>
  </si>
  <si>
    <t>商户</t>
  </si>
  <si>
    <t>租赁起始日期</t>
  </si>
  <si>
    <t>租赁截止日期</t>
  </si>
  <si>
    <t>经营品牌</t>
  </si>
  <si>
    <t>单价</t>
  </si>
  <si>
    <t>年租金（元）</t>
  </si>
  <si>
    <t>业态</t>
  </si>
  <si>
    <t>西区商业A、B、C栋商业</t>
  </si>
  <si>
    <t>未售</t>
  </si>
  <si>
    <t>金阳天地8号商铺</t>
  </si>
  <si>
    <t>贵州时开商贸有限公司</t>
  </si>
  <si>
    <t>时开便利店</t>
  </si>
  <si>
    <t>98元/㎡</t>
  </si>
  <si>
    <t>零售</t>
  </si>
  <si>
    <t>金阳天地3号商铺</t>
  </si>
  <si>
    <t>雷霄</t>
  </si>
  <si>
    <t>申御重机</t>
  </si>
  <si>
    <t>39元/㎡</t>
  </si>
  <si>
    <t>金阳天地B栋二层D2、D3、D4、D5、D6、D7</t>
  </si>
  <si>
    <t>舒成宇预</t>
  </si>
  <si>
    <t>舞蹈、音乐、阅读、休闲餐饮</t>
  </si>
  <si>
    <t>50元/㎡</t>
  </si>
  <si>
    <t>教育培训</t>
  </si>
  <si>
    <t>金阳天地B栋二层D8、D9、D10、D11、D12</t>
  </si>
  <si>
    <t>贵阳七田阳光教育科技有限公司</t>
  </si>
  <si>
    <t>全脑教育、幼小连接</t>
  </si>
  <si>
    <t>金阳天地B栋一层C4、C5、C6、C7</t>
  </si>
  <si>
    <t>贵阳南明区亚当创新教育培训中心</t>
  </si>
  <si>
    <t>亚当教育（外教英语）</t>
  </si>
  <si>
    <t>60元/㎡</t>
  </si>
  <si>
    <t>金阳天地B栋一层C8、C9、C10</t>
  </si>
  <si>
    <t>杨文萍</t>
  </si>
  <si>
    <t>UBTV小主播</t>
  </si>
  <si>
    <t>金阳天地E栋A5、A6</t>
  </si>
  <si>
    <t>刘芳芳</t>
  </si>
  <si>
    <t>小燕画园</t>
  </si>
  <si>
    <t>70元/㎡</t>
  </si>
  <si>
    <t>金阳天地B栋一层C1</t>
  </si>
  <si>
    <t>袁璨</t>
  </si>
  <si>
    <t>东方之星</t>
  </si>
  <si>
    <t>48元/㎡</t>
  </si>
  <si>
    <t>金阳天地B栋一层C2、C3</t>
  </si>
  <si>
    <t>方娇</t>
  </si>
  <si>
    <t>木子方舞蹈</t>
  </si>
  <si>
    <t>西区商业C栋及B3栋</t>
  </si>
  <si>
    <t>贵阳潮江春餐饮有限公司</t>
  </si>
  <si>
    <t>香江及第</t>
  </si>
  <si>
    <t>25元/㎡</t>
  </si>
  <si>
    <t>餐饮</t>
  </si>
  <si>
    <t>已租商铺面积合计：</t>
  </si>
  <si>
    <t>年租金合计：</t>
  </si>
  <si>
    <t>金阳天地B栋二层D1</t>
  </si>
  <si>
    <t>空置</t>
  </si>
  <si>
    <t>/</t>
  </si>
  <si>
    <t>金阳天地B栋B1、B2、B3、B4、B5、B6、B7、B8、B9、B10、B11、B12、B13、B14</t>
  </si>
  <si>
    <t>A栋</t>
  </si>
  <si>
    <t>金阳天地B栋一层C11、C12</t>
  </si>
  <si>
    <t>该商铺诉讼中</t>
  </si>
  <si>
    <t>未租商铺面积合计：</t>
  </si>
  <si>
    <t>新世界西区商业ABC栋销售情况</t>
  </si>
  <si>
    <t>楼层</t>
  </si>
  <si>
    <t>销售面积</t>
  </si>
  <si>
    <t>未售面积</t>
  </si>
  <si>
    <t>九层</t>
  </si>
  <si>
    <t>八层</t>
  </si>
  <si>
    <t>七层</t>
  </si>
  <si>
    <t>六层</t>
  </si>
  <si>
    <t>五层</t>
  </si>
  <si>
    <t>四层</t>
  </si>
  <si>
    <t>三层</t>
  </si>
  <si>
    <t>二层</t>
  </si>
  <si>
    <t>一层</t>
  </si>
  <si>
    <t>负一层</t>
  </si>
  <si>
    <t>负二层</t>
  </si>
  <si>
    <t>备注：</t>
  </si>
  <si>
    <t>已售部分已办理小产权，无法进行抵押。</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</si>
  <si>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</si>
  <si>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</si>
  <si>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</si>
  <si>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</si>
  <si>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</si>
  <si>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</si>
  <si>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</si>
  <si>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</si>
  <si>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</si>
  <si>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</si>
  <si>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</si>
  <si>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</si>
  <si>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</si>
  <si>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</si>
  <si>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</si>
  <si>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</si>
  <si>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</si>
  <si>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</si>
  <si>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</si>
  <si>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</si>
  <si>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</si>
  <si>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</si>
  <si>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</si>
  <si>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</si>
  <si>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</si>
  <si>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</si>
  <si>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</si>
  <si>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</si>
  <si>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</si>
  <si>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观山西路南侧,云潭南路西侧</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</si>
  <si>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</si>
  <si>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</si>
  <si>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</si>
  <si>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</si>
  <si>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</si>
  <si>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</si>
  <si>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</si>
  <si>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</si>
  <si>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</si>
  <si>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</si>
  <si>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</si>
  <si>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</si>
  <si>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</si>
  <si>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</si>
  <si>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</si>
  <si>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</si>
  <si>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</si>
  <si>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</si>
  <si>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</si>
  <si>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</si>
  <si>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</si>
  <si>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</si>
  <si>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</si>
  <si>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</si>
  <si>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</si>
  <si>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</si>
  <si>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</si>
  <si>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</si>
  <si>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</si>
  <si>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</si>
  <si>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</si>
  <si>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</si>
  <si>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</si>
  <si>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</si>
  <si>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</si>
  <si>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</si>
  <si>
    <t>商业</t>
    <phoneticPr fontId="31" type="noConversion"/>
  </si>
  <si>
    <t>抵押</t>
    <phoneticPr fontId="3" type="noConversion"/>
  </si>
  <si>
    <t>是</t>
  </si>
  <si>
    <t>是</t>
    <phoneticPr fontId="3" type="noConversion"/>
  </si>
  <si>
    <t>地上</t>
  </si>
  <si>
    <t>地下</t>
  </si>
  <si>
    <t>车库—商业</t>
  </si>
  <si>
    <t>商业</t>
    <phoneticPr fontId="7" type="noConversion"/>
  </si>
  <si>
    <t>地下车库</t>
    <phoneticPr fontId="7" type="noConversion"/>
  </si>
  <si>
    <t>车库</t>
  </si>
  <si>
    <t>成新度</t>
  </si>
  <si>
    <t>较好</t>
    <phoneticPr fontId="31" type="noConversion"/>
  </si>
  <si>
    <t>六通</t>
    <phoneticPr fontId="31" type="noConversion"/>
  </si>
  <si>
    <t>较规则</t>
    <phoneticPr fontId="31" type="noConversion"/>
  </si>
  <si>
    <t>三通</t>
    <phoneticPr fontId="31" type="noConversion"/>
  </si>
  <si>
    <t>较规则</t>
    <phoneticPr fontId="31" type="noConversion"/>
  </si>
  <si>
    <t>全部缴纳</t>
  </si>
  <si>
    <t>楼层</t>
    <phoneticPr fontId="3" type="noConversion"/>
  </si>
  <si>
    <t>面积</t>
    <phoneticPr fontId="3" type="noConversion"/>
  </si>
  <si>
    <r>
      <t>7</t>
    </r>
    <r>
      <rPr>
        <sz val="10"/>
        <color indexed="8"/>
        <rFont val="宋体"/>
        <family val="3"/>
        <charset val="134"/>
      </rPr>
      <t>层</t>
    </r>
    <phoneticPr fontId="3" type="noConversion"/>
  </si>
  <si>
    <r>
      <t>6</t>
    </r>
    <r>
      <rPr>
        <sz val="10"/>
        <color indexed="8"/>
        <rFont val="宋体"/>
        <family val="3"/>
        <charset val="134"/>
      </rPr>
      <t>层</t>
    </r>
    <phoneticPr fontId="3" type="noConversion"/>
  </si>
  <si>
    <r>
      <t>5</t>
    </r>
    <r>
      <rPr>
        <sz val="10"/>
        <color indexed="8"/>
        <rFont val="宋体"/>
        <family val="3"/>
        <charset val="134"/>
      </rPr>
      <t>层</t>
    </r>
    <phoneticPr fontId="3" type="noConversion"/>
  </si>
  <si>
    <r>
      <t>4</t>
    </r>
    <r>
      <rPr>
        <sz val="10"/>
        <color indexed="8"/>
        <rFont val="宋体"/>
        <family val="3"/>
        <charset val="134"/>
      </rPr>
      <t>层</t>
    </r>
    <phoneticPr fontId="3" type="noConversion"/>
  </si>
  <si>
    <r>
      <t>3</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</si>
  <si>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</si>
  <si>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</si>
  <si>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</si>
  <si>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2</t>
    </r>
    <r>
      <rPr>
        <sz val="10"/>
        <color indexed="8"/>
        <rFont val="宋体"/>
        <family val="3"/>
        <charset val="134"/>
      </rPr>
      <t>层</t>
    </r>
    <phoneticPr fontId="3" type="noConversion"/>
  </si>
  <si>
    <t>合计</t>
    <phoneticPr fontId="3" type="noConversion"/>
  </si>
  <si>
    <t>面积占比</t>
    <phoneticPr fontId="3" type="noConversion"/>
  </si>
  <si>
    <t>租金</t>
    <phoneticPr fontId="3" type="noConversion"/>
  </si>
  <si>
    <t>楼层系数</t>
    <phoneticPr fontId="3" type="noConversion"/>
  </si>
  <si>
    <t>收益法-车库</t>
  </si>
  <si>
    <t>收益法-车库</t>
    <phoneticPr fontId="16" type="noConversion"/>
  </si>
  <si>
    <t>收益法</t>
  </si>
  <si>
    <t>自定义</t>
  </si>
  <si>
    <t>按租金收入计税</t>
  </si>
  <si>
    <t>钢混</t>
  </si>
  <si>
    <t>非生产用房</t>
  </si>
  <si>
    <r>
      <t>A</t>
    </r>
    <r>
      <rPr>
        <sz val="10"/>
        <color indexed="8"/>
        <rFont val="宋体"/>
        <family val="3"/>
        <charset val="134"/>
      </rPr>
      <t>座</t>
    </r>
    <phoneticPr fontId="3" type="noConversion"/>
  </si>
  <si>
    <r>
      <t>bc</t>
    </r>
    <r>
      <rPr>
        <sz val="10"/>
        <color indexed="8"/>
        <rFont val="宋体"/>
        <family val="3"/>
        <charset val="134"/>
      </rPr>
      <t>座</t>
    </r>
    <phoneticPr fontId="3" type="noConversion"/>
  </si>
  <si>
    <t>建成年代</t>
    <phoneticPr fontId="3" type="noConversion"/>
  </si>
  <si>
    <t>面积</t>
    <phoneticPr fontId="3" type="noConversion"/>
  </si>
  <si>
    <t>面积占比</t>
    <phoneticPr fontId="3" type="noConversion"/>
  </si>
  <si>
    <t>成新率</t>
    <phoneticPr fontId="3" type="noConversion"/>
  </si>
  <si>
    <t>押一</t>
  </si>
  <si>
    <t>现房</t>
  </si>
  <si>
    <t>已包含在土地取得成本中</t>
  </si>
  <si>
    <t>未包含在土地购买价格中</t>
  </si>
  <si>
    <t>其他省市系数</t>
  </si>
  <si>
    <t>办公</t>
    <phoneticPr fontId="7" type="noConversion"/>
  </si>
  <si>
    <t>收益法-办公</t>
  </si>
  <si>
    <t>收益法-办公</t>
    <phoneticPr fontId="16" type="noConversion"/>
  </si>
  <si>
    <t>售价</t>
  </si>
  <si>
    <t>正常</t>
    <phoneticPr fontId="32" type="noConversion"/>
  </si>
  <si>
    <t>办公</t>
    <phoneticPr fontId="32" type="noConversion"/>
  </si>
  <si>
    <t>30-40（含）</t>
  </si>
  <si>
    <t>较好</t>
    <phoneticPr fontId="32" type="noConversion"/>
  </si>
  <si>
    <t>六通</t>
    <phoneticPr fontId="32" type="noConversion"/>
  </si>
  <si>
    <t>六通</t>
    <phoneticPr fontId="32" type="noConversion"/>
  </si>
  <si>
    <t>钢混</t>
    <phoneticPr fontId="32" type="noConversion"/>
  </si>
  <si>
    <t>钢混</t>
    <phoneticPr fontId="32" type="noConversion"/>
  </si>
  <si>
    <t>比较法-办公</t>
  </si>
  <si>
    <t>比较法-车位</t>
  </si>
  <si>
    <t>商业</t>
    <phoneticPr fontId="3" type="noConversion"/>
  </si>
  <si>
    <t>办公</t>
    <phoneticPr fontId="3" type="noConversion"/>
  </si>
  <si>
    <t>办公</t>
    <phoneticPr fontId="143" type="noConversion"/>
  </si>
  <si>
    <t>商业</t>
    <phoneticPr fontId="143" type="noConversion"/>
  </si>
  <si>
    <t>车库</t>
    <phoneticPr fontId="143" type="noConversion"/>
  </si>
  <si>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</si>
  <si>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</si>
  <si>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</si>
  <si>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</si>
  <si>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rPr>
        <sz val="10"/>
        <color indexed="8"/>
        <rFont val="宋体"/>
        <family val="3"/>
        <charset val="134"/>
      </rPr>
      <t>负</t>
    </r>
    <r>
      <rPr>
        <sz val="10"/>
        <color indexed="8"/>
        <rFont val="Arial"/>
        <family val="2"/>
      </rPr>
      <t>1</t>
    </r>
    <r>
      <rPr>
        <sz val="10"/>
        <color indexed="8"/>
        <rFont val="宋体"/>
        <family val="3"/>
        <charset val="134"/>
      </rPr>
      <t>层</t>
    </r>
    <phoneticPr fontId="25" type="noConversion"/>
  </si>
  <si>
    <t>典型户型修正</t>
  </si>
  <si>
    <t>典型户型修正</t>
    <phoneticPr fontId="16" type="noConversion"/>
  </si>
  <si>
    <t>贵州金融城</t>
    <phoneticPr fontId="3" type="noConversion"/>
  </si>
  <si>
    <t>金阳麒龙CBD</t>
    <phoneticPr fontId="3" type="noConversion"/>
  </si>
  <si>
    <t>金融101大厦</t>
    <phoneticPr fontId="3" type="noConversion"/>
  </si>
  <si>
    <t>世纪城商铺</t>
    <phoneticPr fontId="3" type="noConversion"/>
  </si>
  <si>
    <t>正常</t>
    <phoneticPr fontId="31" type="noConversion"/>
  </si>
  <si>
    <t>商业</t>
    <phoneticPr fontId="31" type="noConversion"/>
  </si>
  <si>
    <t>商业街商铺</t>
    <phoneticPr fontId="31" type="noConversion"/>
  </si>
  <si>
    <t>住宅底商</t>
    <phoneticPr fontId="31" type="noConversion"/>
  </si>
  <si>
    <t>住宅底商</t>
    <phoneticPr fontId="31" type="noConversion"/>
  </si>
  <si>
    <t>商业街商铺</t>
    <phoneticPr fontId="31" type="noConversion"/>
  </si>
  <si>
    <t>办公底商</t>
    <phoneticPr fontId="31" type="noConversion"/>
  </si>
  <si>
    <t>住宅底商</t>
    <phoneticPr fontId="31" type="noConversion"/>
  </si>
  <si>
    <t>较好</t>
    <phoneticPr fontId="31" type="noConversion"/>
  </si>
  <si>
    <t>较好</t>
    <phoneticPr fontId="31" type="noConversion"/>
  </si>
  <si>
    <t>六通</t>
    <phoneticPr fontId="31" type="noConversion"/>
  </si>
  <si>
    <t>六通</t>
    <phoneticPr fontId="31" type="noConversion"/>
  </si>
  <si>
    <t>元/平方米</t>
  </si>
  <si>
    <t>正常</t>
    <phoneticPr fontId="32" type="noConversion"/>
  </si>
  <si>
    <t>车库</t>
    <phoneticPr fontId="32" type="noConversion"/>
  </si>
  <si>
    <t>较好</t>
    <phoneticPr fontId="32" type="noConversion"/>
  </si>
  <si>
    <t>六通</t>
    <phoneticPr fontId="32" type="noConversion"/>
  </si>
  <si>
    <r>
      <t>b</t>
    </r>
    <r>
      <rPr>
        <sz val="11"/>
        <color theme="1"/>
        <rFont val="宋体"/>
        <family val="3"/>
        <charset val="134"/>
        <scheme val="minor"/>
      </rPr>
      <t>c3.6</t>
    </r>
    <phoneticPr fontId="143" type="noConversion"/>
  </si>
  <si>
    <t>a1.3</t>
    <phoneticPr fontId="143" type="noConversion"/>
  </si>
  <si>
    <t>中天会展城</t>
    <phoneticPr fontId="3" type="noConversion"/>
  </si>
  <si>
    <t>天一国际</t>
    <phoneticPr fontId="3" type="noConversion"/>
  </si>
  <si>
    <t>住宅底商</t>
  </si>
  <si>
    <t>一般</t>
  </si>
  <si>
    <t>一般</t>
    <phoneticPr fontId="31" type="noConversion"/>
  </si>
  <si>
    <t>较大</t>
    <phoneticPr fontId="31" type="noConversion"/>
  </si>
  <si>
    <t>大</t>
    <phoneticPr fontId="31" type="noConversion"/>
  </si>
  <si>
    <t>A座</t>
    <phoneticPr fontId="143" type="noConversion"/>
  </si>
  <si>
    <t>D座</t>
    <phoneticPr fontId="143" type="noConversion"/>
  </si>
  <si>
    <t>郑燚</t>
  </si>
  <si>
    <t>王鹏</t>
  </si>
  <si>
    <t>成本比率</t>
  </si>
  <si>
    <t>多面临街</t>
    <phoneticPr fontId="31" type="noConversion"/>
  </si>
  <si>
    <t>单面临街</t>
    <phoneticPr fontId="31" type="noConversion"/>
  </si>
  <si>
    <t>单面临街</t>
    <phoneticPr fontId="31" type="noConversion"/>
  </si>
  <si>
    <t>多面临街</t>
    <phoneticPr fontId="31" type="noConversion"/>
  </si>
  <si>
    <t>双面临街</t>
    <phoneticPr fontId="31" type="noConversion"/>
  </si>
  <si>
    <t>较好</t>
    <phoneticPr fontId="31" type="noConversion"/>
  </si>
  <si>
    <t>中区</t>
    <phoneticPr fontId="32" type="noConversion"/>
  </si>
  <si>
    <t>租金单价</t>
    <phoneticPr fontId="143" type="noConversion"/>
  </si>
  <si>
    <t>钢混</t>
    <phoneticPr fontId="31" type="noConversion"/>
  </si>
  <si>
    <t>精装</t>
    <phoneticPr fontId="31" type="noConversion"/>
  </si>
  <si>
    <t>五通</t>
    <phoneticPr fontId="31" type="noConversion"/>
  </si>
  <si>
    <t>五通</t>
    <phoneticPr fontId="31" type="noConversion"/>
  </si>
  <si>
    <t>可做餐饮</t>
    <phoneticPr fontId="31" type="noConversion"/>
  </si>
  <si>
    <t>可做餐饮</t>
    <phoneticPr fontId="31" type="noConversion"/>
  </si>
  <si>
    <t>普装</t>
    <phoneticPr fontId="31" type="noConversion"/>
  </si>
  <si>
    <t>较好</t>
    <phoneticPr fontId="31" type="noConversion"/>
  </si>
  <si>
    <t>好</t>
    <phoneticPr fontId="25" type="noConversion"/>
  </si>
  <si>
    <t>较好</t>
  </si>
  <si>
    <t>较好</t>
    <phoneticPr fontId="25" type="noConversion"/>
  </si>
  <si>
    <t>一般</t>
    <phoneticPr fontId="25" type="noConversion"/>
  </si>
  <si>
    <t>较差</t>
    <phoneticPr fontId="25" type="noConversion"/>
  </si>
  <si>
    <t>差</t>
    <phoneticPr fontId="25" type="noConversion"/>
  </si>
  <si>
    <t>多面临街</t>
  </si>
  <si>
    <t>多面临街</t>
    <phoneticPr fontId="25" type="noConversion"/>
  </si>
  <si>
    <t>双面临街</t>
    <phoneticPr fontId="25" type="noConversion"/>
  </si>
  <si>
    <t>单面临街</t>
    <phoneticPr fontId="25"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</si>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</sst>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
      <b/>
      <sz val="10"/>
      <name val="宋体"/>
      <family val="3"/>
      <charset val="134"/>
      <scheme val="minor"/>
    </font>
    <font>
      <b/>
      <sz val="18"/>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3" fillId="0" borderId="0" xfId="0" applyFont="1">
      <alignment vertical="center"/>
    </xf>
    <xf numFmtId="0" fontId="113" fillId="0" borderId="1" xfId="0" applyFont="1" applyBorder="1">
      <alignment vertical="center"/>
    </xf>
    <xf numFmtId="0" fontId="113" fillId="0" borderId="1" xfId="17" applyFont="1" applyFill="1" applyBorder="1" applyAlignment="1">
      <alignment horizontal="center" vertical="center" wrapText="1"/>
    </xf>
    <xf numFmtId="0" fontId="113" fillId="0" borderId="1" xfId="0" applyFont="1" applyFill="1" applyBorder="1" applyAlignment="1">
      <alignment horizontal="center" vertical="center" wrapText="1"/>
    </xf>
    <xf numFmtId="14" fontId="130" fillId="0"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14" fontId="113" fillId="0" borderId="1" xfId="0" applyNumberFormat="1" applyFont="1" applyFill="1" applyBorder="1" applyAlignment="1">
      <alignment horizontal="center" vertical="center" wrapText="1"/>
    </xf>
    <xf numFmtId="0" fontId="113" fillId="7" borderId="1" xfId="0" applyFont="1" applyFill="1" applyBorder="1" applyAlignment="1">
      <alignment horizontal="center" vertical="center" wrapText="1"/>
    </xf>
    <xf numFmtId="0" fontId="113" fillId="0" borderId="1" xfId="0" applyFont="1" applyBorder="1" applyAlignment="1">
      <alignment horizontal="center" vertical="center" wrapText="1"/>
    </xf>
    <xf numFmtId="0" fontId="119" fillId="0" borderId="1" xfId="0" applyFont="1" applyBorder="1" applyAlignment="1">
      <alignment horizontal="center" vertical="center"/>
    </xf>
    <xf numFmtId="0" fontId="119" fillId="0" borderId="1" xfId="0" applyFont="1" applyFill="1" applyBorder="1" applyAlignment="1">
      <alignment horizontal="center" vertical="center" wrapText="1"/>
    </xf>
    <xf numFmtId="0" fontId="119" fillId="0" borderId="1" xfId="0" applyFont="1" applyBorder="1">
      <alignment vertical="center"/>
    </xf>
    <xf numFmtId="0" fontId="119" fillId="0" borderId="1" xfId="0" applyFont="1" applyBorder="1" applyAlignment="1">
      <alignment horizontal="center" vertical="center" wrapText="1"/>
    </xf>
    <xf numFmtId="0" fontId="100" fillId="0" borderId="1" xfId="0" applyFont="1" applyBorder="1" applyAlignment="1">
      <alignment horizontal="center"/>
    </xf>
    <xf numFmtId="0" fontId="0" fillId="0" borderId="1" xfId="0" applyBorder="1" applyAlignment="1">
      <alignment horizontal="center"/>
    </xf>
    <xf numFmtId="0" fontId="0" fillId="0" borderId="1" xfId="0" applyBorder="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80" fillId="0" borderId="0" xfId="0" applyFont="1" applyAlignment="1" applyProtection="1">
      <alignment vertical="center"/>
      <protection locked="0"/>
    </xf>
    <xf numFmtId="0" fontId="0" fillId="5" borderId="1" xfId="0" applyFill="1" applyBorder="1" applyAlignment="1">
      <alignment horizontal="center"/>
    </xf>
    <xf numFmtId="0" fontId="99" fillId="5" borderId="0" xfId="0" applyFont="1" applyFill="1">
      <alignment vertical="center"/>
    </xf>
    <xf numFmtId="0" fontId="0" fillId="9" borderId="1" xfId="0" applyFill="1" applyBorder="1" applyAlignment="1">
      <alignment horizontal="center"/>
    </xf>
    <xf numFmtId="0" fontId="0" fillId="9" borderId="0" xfId="0" applyFill="1">
      <alignment vertical="center"/>
    </xf>
    <xf numFmtId="0" fontId="99" fillId="9" borderId="0" xfId="0" applyFont="1" applyFill="1">
      <alignment vertical="center"/>
    </xf>
    <xf numFmtId="0" fontId="0" fillId="8" borderId="1" xfId="0" applyFill="1" applyBorder="1" applyAlignment="1">
      <alignment horizontal="center"/>
    </xf>
    <xf numFmtId="0" fontId="0" fillId="8" borderId="0" xfId="0" applyFill="1">
      <alignment vertical="center"/>
    </xf>
    <xf numFmtId="0" fontId="99" fillId="8" borderId="0" xfId="0" applyFont="1" applyFill="1">
      <alignment vertical="center"/>
    </xf>
    <xf numFmtId="0" fontId="192" fillId="0" borderId="1" xfId="0" applyFont="1" applyFill="1" applyBorder="1" applyAlignment="1" applyProtection="1">
      <alignment horizontal="center" vertical="center"/>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0" fillId="0" borderId="15" xfId="0" applyFont="1" applyFill="1" applyBorder="1" applyAlignment="1">
      <alignment horizontal="center"/>
    </xf>
    <xf numFmtId="0" fontId="47" fillId="17" borderId="5" xfId="0" applyFont="1" applyFill="1" applyBorder="1" applyAlignment="1" applyProtection="1">
      <alignment horizontal="center" vertical="center" wrapText="1"/>
      <protection locked="0"/>
    </xf>
    <xf numFmtId="0" fontId="47" fillId="17" borderId="5" xfId="0" applyFont="1" applyFill="1" applyBorder="1" applyAlignment="1" applyProtection="1">
      <alignment horizontal="center" vertical="center" wrapText="1"/>
    </xf>
    <xf numFmtId="0" fontId="98" fillId="0" borderId="37" xfId="0" applyNumberFormat="1" applyFont="1" applyFill="1" applyBorder="1" applyAlignment="1" applyProtection="1">
      <alignment horizontal="center" vertical="center" wrapText="1"/>
      <protection locked="0"/>
    </xf>
    <xf numFmtId="0" fontId="98" fillId="17" borderId="54"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0" fillId="5" borderId="0" xfId="0" applyFill="1">
      <alignment vertical="center"/>
    </xf>
    <xf numFmtId="0" fontId="98" fillId="2" borderId="23"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0" fillId="0" borderId="0" xfId="0" applyAlignment="1">
      <alignment horizontal="center" vertical="center"/>
    </xf>
    <xf numFmtId="0" fontId="256" fillId="0" borderId="0" xfId="0" applyFont="1" applyAlignment="1">
      <alignment horizontal="center" vertical="center"/>
    </xf>
    <xf numFmtId="0" fontId="0" fillId="0" borderId="1" xfId="0" applyBorder="1" applyAlignment="1">
      <alignment horizontal="center"/>
    </xf>
    <xf numFmtId="0" fontId="119" fillId="0" borderId="60" xfId="0" applyFont="1" applyBorder="1" applyAlignment="1">
      <alignment horizontal="center" vertical="center"/>
    </xf>
    <xf numFmtId="0" fontId="119" fillId="0" borderId="0" xfId="0" applyFont="1" applyBorder="1" applyAlignment="1">
      <alignment horizontal="center" vertical="center"/>
    </xf>
    <xf numFmtId="0" fontId="119" fillId="0" borderId="1" xfId="0" applyFont="1" applyBorder="1" applyAlignment="1">
      <alignment horizontal="center" vertical="center" wrapText="1"/>
    </xf>
    <xf numFmtId="0" fontId="255" fillId="0" borderId="1" xfId="0" applyFont="1" applyBorder="1" applyAlignment="1">
      <alignment horizontal="center" vertical="center" wrapText="1"/>
    </xf>
    <xf numFmtId="0" fontId="119"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5" xfId="0" applyFont="1" applyBorder="1" applyAlignment="1">
      <alignment horizontal="center" vertical="center" wrapText="1"/>
    </xf>
    <xf numFmtId="0" fontId="113" fillId="0" borderId="54" xfId="0" applyFont="1" applyBorder="1" applyAlignment="1">
      <alignment horizontal="center" vertical="center" wrapText="1"/>
    </xf>
    <xf numFmtId="0" fontId="113" fillId="0" borderId="3" xfId="0" applyFont="1" applyBorder="1" applyAlignment="1">
      <alignment horizontal="center" vertical="center" wrapText="1"/>
    </xf>
    <xf numFmtId="0" fontId="119" fillId="0" borderId="5" xfId="0" applyFont="1" applyBorder="1" applyAlignment="1">
      <alignment horizontal="center" vertical="center"/>
    </xf>
    <xf numFmtId="0" fontId="119" fillId="0" borderId="54" xfId="0" applyFont="1" applyBorder="1" applyAlignment="1">
      <alignment horizontal="center" vertical="center"/>
    </xf>
    <xf numFmtId="0" fontId="119" fillId="0" borderId="3" xfId="0" applyFont="1" applyBorder="1" applyAlignment="1">
      <alignment horizontal="center" vertical="center"/>
    </xf>
    <xf numFmtId="0" fontId="113" fillId="7" borderId="5" xfId="0" applyFont="1" applyFill="1" applyBorder="1" applyAlignment="1">
      <alignment horizontal="center" vertical="center" wrapText="1"/>
    </xf>
    <xf numFmtId="0" fontId="113" fillId="7" borderId="54" xfId="0" applyFont="1" applyFill="1" applyBorder="1" applyAlignment="1">
      <alignment horizontal="center" vertical="center" wrapText="1"/>
    </xf>
    <xf numFmtId="0" fontId="113" fillId="7" borderId="3" xfId="0" applyFont="1" applyFill="1" applyBorder="1" applyAlignment="1">
      <alignment horizontal="center" vertical="center" wrapText="1"/>
    </xf>
    <xf numFmtId="0" fontId="113" fillId="0" borderId="46" xfId="0" applyFont="1" applyBorder="1" applyAlignment="1">
      <alignment horizontal="center" vertical="center"/>
    </xf>
    <xf numFmtId="0" fontId="113" fillId="0" borderId="36" xfId="0" applyFont="1" applyBorder="1" applyAlignment="1">
      <alignment horizontal="center" vertical="center"/>
    </xf>
    <xf numFmtId="0" fontId="113" fillId="0" borderId="22" xfId="0" applyFont="1"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6</xdr:col>
      <xdr:colOff>9031</xdr:colOff>
      <xdr:row>20</xdr:row>
      <xdr:rowOff>9103</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57150"/>
          <a:ext cx="3952381" cy="3380953"/>
        </a:xfrm>
        <a:prstGeom prst="rect">
          <a:avLst/>
        </a:prstGeom>
      </xdr:spPr>
    </xdr:pic>
    <xdr:clientData/>
  </xdr:twoCellAnchor>
  <xdr:twoCellAnchor editAs="oneCell">
    <xdr:from>
      <xdr:col>6</xdr:col>
      <xdr:colOff>19050</xdr:colOff>
      <xdr:row>0</xdr:row>
      <xdr:rowOff>76200</xdr:rowOff>
    </xdr:from>
    <xdr:to>
      <xdr:col>11</xdr:col>
      <xdr:colOff>180526</xdr:colOff>
      <xdr:row>19</xdr:row>
      <xdr:rowOff>18650</xdr:rowOff>
    </xdr:to>
    <xdr:pic>
      <xdr:nvPicPr>
        <xdr:cNvPr id="3" name="图片 2"/>
        <xdr:cNvPicPr>
          <a:picLocks noChangeAspect="1"/>
        </xdr:cNvPicPr>
      </xdr:nvPicPr>
      <xdr:blipFill>
        <a:blip xmlns:r="http://schemas.openxmlformats.org/officeDocument/2006/relationships" r:embed="rId2"/>
        <a:stretch>
          <a:fillRect/>
        </a:stretch>
      </xdr:blipFill>
      <xdr:spPr>
        <a:xfrm>
          <a:off x="4133850" y="76200"/>
          <a:ext cx="3590476" cy="3200000"/>
        </a:xfrm>
        <a:prstGeom prst="rect">
          <a:avLst/>
        </a:prstGeom>
      </xdr:spPr>
    </xdr:pic>
    <xdr:clientData/>
  </xdr:twoCellAnchor>
  <xdr:twoCellAnchor editAs="oneCell">
    <xdr:from>
      <xdr:col>11</xdr:col>
      <xdr:colOff>238125</xdr:colOff>
      <xdr:row>0</xdr:row>
      <xdr:rowOff>76200</xdr:rowOff>
    </xdr:from>
    <xdr:to>
      <xdr:col>16</xdr:col>
      <xdr:colOff>637697</xdr:colOff>
      <xdr:row>18</xdr:row>
      <xdr:rowOff>142481</xdr:rowOff>
    </xdr:to>
    <xdr:pic>
      <xdr:nvPicPr>
        <xdr:cNvPr id="4" name="图片 3"/>
        <xdr:cNvPicPr>
          <a:picLocks noChangeAspect="1"/>
        </xdr:cNvPicPr>
      </xdr:nvPicPr>
      <xdr:blipFill>
        <a:blip xmlns:r="http://schemas.openxmlformats.org/officeDocument/2006/relationships" r:embed="rId3"/>
        <a:stretch>
          <a:fillRect/>
        </a:stretch>
      </xdr:blipFill>
      <xdr:spPr>
        <a:xfrm>
          <a:off x="7781925" y="76200"/>
          <a:ext cx="3828572" cy="3152381"/>
        </a:xfrm>
        <a:prstGeom prst="rect">
          <a:avLst/>
        </a:prstGeom>
      </xdr:spPr>
    </xdr:pic>
    <xdr:clientData/>
  </xdr:twoCellAnchor>
  <xdr:twoCellAnchor editAs="oneCell">
    <xdr:from>
      <xdr:col>0</xdr:col>
      <xdr:colOff>0</xdr:colOff>
      <xdr:row>47</xdr:row>
      <xdr:rowOff>0</xdr:rowOff>
    </xdr:from>
    <xdr:to>
      <xdr:col>5</xdr:col>
      <xdr:colOff>176359</xdr:colOff>
      <xdr:row>62</xdr:row>
      <xdr:rowOff>28575</xdr:rowOff>
    </xdr:to>
    <xdr:pic>
      <xdr:nvPicPr>
        <xdr:cNvPr id="8" name="图片 7"/>
        <xdr:cNvPicPr>
          <a:picLocks noChangeAspect="1"/>
        </xdr:cNvPicPr>
      </xdr:nvPicPr>
      <xdr:blipFill>
        <a:blip xmlns:r="http://schemas.openxmlformats.org/officeDocument/2006/relationships" r:embed="rId4"/>
        <a:stretch>
          <a:fillRect/>
        </a:stretch>
      </xdr:blipFill>
      <xdr:spPr>
        <a:xfrm>
          <a:off x="0" y="8058150"/>
          <a:ext cx="3605359" cy="2600325"/>
        </a:xfrm>
        <a:prstGeom prst="rect">
          <a:avLst/>
        </a:prstGeom>
      </xdr:spPr>
    </xdr:pic>
    <xdr:clientData/>
  </xdr:twoCellAnchor>
  <xdr:twoCellAnchor editAs="oneCell">
    <xdr:from>
      <xdr:col>5</xdr:col>
      <xdr:colOff>38101</xdr:colOff>
      <xdr:row>46</xdr:row>
      <xdr:rowOff>95250</xdr:rowOff>
    </xdr:from>
    <xdr:to>
      <xdr:col>11</xdr:col>
      <xdr:colOff>543773</xdr:colOff>
      <xdr:row>63</xdr:row>
      <xdr:rowOff>0</xdr:rowOff>
    </xdr:to>
    <xdr:pic>
      <xdr:nvPicPr>
        <xdr:cNvPr id="9" name="图片 8"/>
        <xdr:cNvPicPr>
          <a:picLocks noChangeAspect="1"/>
        </xdr:cNvPicPr>
      </xdr:nvPicPr>
      <xdr:blipFill>
        <a:blip xmlns:r="http://schemas.openxmlformats.org/officeDocument/2006/relationships" r:embed="rId5"/>
        <a:stretch>
          <a:fillRect/>
        </a:stretch>
      </xdr:blipFill>
      <xdr:spPr>
        <a:xfrm>
          <a:off x="3467101" y="7981950"/>
          <a:ext cx="4620472" cy="2819400"/>
        </a:xfrm>
        <a:prstGeom prst="rect">
          <a:avLst/>
        </a:prstGeom>
      </xdr:spPr>
    </xdr:pic>
    <xdr:clientData/>
  </xdr:twoCellAnchor>
  <xdr:twoCellAnchor editAs="oneCell">
    <xdr:from>
      <xdr:col>10</xdr:col>
      <xdr:colOff>628650</xdr:colOff>
      <xdr:row>45</xdr:row>
      <xdr:rowOff>133351</xdr:rowOff>
    </xdr:from>
    <xdr:to>
      <xdr:col>17</xdr:col>
      <xdr:colOff>457200</xdr:colOff>
      <xdr:row>64</xdr:row>
      <xdr:rowOff>83475</xdr:rowOff>
    </xdr:to>
    <xdr:pic>
      <xdr:nvPicPr>
        <xdr:cNvPr id="10" name="图片 9"/>
        <xdr:cNvPicPr>
          <a:picLocks noChangeAspect="1"/>
        </xdr:cNvPicPr>
      </xdr:nvPicPr>
      <xdr:blipFill>
        <a:blip xmlns:r="http://schemas.openxmlformats.org/officeDocument/2006/relationships" r:embed="rId6"/>
        <a:stretch>
          <a:fillRect/>
        </a:stretch>
      </xdr:blipFill>
      <xdr:spPr>
        <a:xfrm>
          <a:off x="7486650" y="7848601"/>
          <a:ext cx="4629150" cy="3207674"/>
        </a:xfrm>
        <a:prstGeom prst="rect">
          <a:avLst/>
        </a:prstGeom>
      </xdr:spPr>
    </xdr:pic>
    <xdr:clientData/>
  </xdr:twoCellAnchor>
  <xdr:twoCellAnchor editAs="oneCell">
    <xdr:from>
      <xdr:col>0</xdr:col>
      <xdr:colOff>657225</xdr:colOff>
      <xdr:row>22</xdr:row>
      <xdr:rowOff>142875</xdr:rowOff>
    </xdr:from>
    <xdr:to>
      <xdr:col>7</xdr:col>
      <xdr:colOff>228054</xdr:colOff>
      <xdr:row>42</xdr:row>
      <xdr:rowOff>161494</xdr:rowOff>
    </xdr:to>
    <xdr:pic>
      <xdr:nvPicPr>
        <xdr:cNvPr id="11" name="图片 10"/>
        <xdr:cNvPicPr>
          <a:picLocks noChangeAspect="1"/>
        </xdr:cNvPicPr>
      </xdr:nvPicPr>
      <xdr:blipFill>
        <a:blip xmlns:r="http://schemas.openxmlformats.org/officeDocument/2006/relationships" r:embed="rId7"/>
        <a:stretch>
          <a:fillRect/>
        </a:stretch>
      </xdr:blipFill>
      <xdr:spPr>
        <a:xfrm>
          <a:off x="657225" y="3914775"/>
          <a:ext cx="4371429" cy="3447619"/>
        </a:xfrm>
        <a:prstGeom prst="rect">
          <a:avLst/>
        </a:prstGeom>
      </xdr:spPr>
    </xdr:pic>
    <xdr:clientData/>
  </xdr:twoCellAnchor>
  <xdr:twoCellAnchor editAs="oneCell">
    <xdr:from>
      <xdr:col>13</xdr:col>
      <xdr:colOff>390525</xdr:colOff>
      <xdr:row>22</xdr:row>
      <xdr:rowOff>38100</xdr:rowOff>
    </xdr:from>
    <xdr:to>
      <xdr:col>19</xdr:col>
      <xdr:colOff>685249</xdr:colOff>
      <xdr:row>41</xdr:row>
      <xdr:rowOff>161503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9305925" y="3810000"/>
          <a:ext cx="4409524" cy="3380953"/>
        </a:xfrm>
        <a:prstGeom prst="rect">
          <a:avLst/>
        </a:prstGeom>
      </xdr:spPr>
    </xdr:pic>
    <xdr:clientData/>
  </xdr:twoCellAnchor>
  <xdr:twoCellAnchor editAs="oneCell">
    <xdr:from>
      <xdr:col>7</xdr:col>
      <xdr:colOff>142875</xdr:colOff>
      <xdr:row>22</xdr:row>
      <xdr:rowOff>114300</xdr:rowOff>
    </xdr:from>
    <xdr:to>
      <xdr:col>13</xdr:col>
      <xdr:colOff>494742</xdr:colOff>
      <xdr:row>43</xdr:row>
      <xdr:rowOff>47184</xdr:rowOff>
    </xdr:to>
    <xdr:pic>
      <xdr:nvPicPr>
        <xdr:cNvPr id="13" name="图片 12"/>
        <xdr:cNvPicPr>
          <a:picLocks noChangeAspect="1"/>
        </xdr:cNvPicPr>
      </xdr:nvPicPr>
      <xdr:blipFill>
        <a:blip xmlns:r="http://schemas.openxmlformats.org/officeDocument/2006/relationships" r:embed="rId9"/>
        <a:stretch>
          <a:fillRect/>
        </a:stretch>
      </xdr:blipFill>
      <xdr:spPr>
        <a:xfrm>
          <a:off x="4943475" y="3886200"/>
          <a:ext cx="4466667" cy="3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 ca="1">'预评函-封皮'!B46</f>
        <v>郑燚（注册号：1120070131)、王鹏（注册号：1120050019)</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估价对象为房地产，为所有。根据《国有土地使用证》[]，估价对象（分摊）出让国有建设用地使用权面积为3961.76平方米，建筑面积为33991.92平方米。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估价对象为房地产,属开发建设的，该项目尚在开发建设中。根据《国有土地使用证》[]，估价对象（分摊）出让国有建设用地使用权面积为3961.76平方米，规划建筑面积为33991.92平方米。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2019年3月8日</v>
      </c>
    </row>
    <row r="13" spans="1:2" s="1596" customFormat="1">
      <c r="A13" s="1594" t="s">
        <v>1223</v>
      </c>
      <c r="B13" s="1595"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本次评估采用的主估价方法为基准地价系数修正法和收益法。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52798</v>
      </c>
    </row>
    <row r="21" spans="1:2" s="1596" customFormat="1">
      <c r="A21" s="1594" t="s">
        <v>1231</v>
      </c>
      <c r="B21" s="1595">
        <f ca="1">'预评函-2'!D7</f>
        <v>17116</v>
      </c>
    </row>
    <row r="22" spans="1:2" s="1596" customFormat="1">
      <c r="A22" s="1594" t="s">
        <v>1232</v>
      </c>
      <c r="B22" s="1595" t="str">
        <f ca="1">'预评函-2'!D6</f>
        <v>伍亿贰仟柒佰玖拾捌万元整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52798</v>
      </c>
    </row>
    <row r="31" spans="1:2" s="1596" customFormat="1">
      <c r="A31" s="1594" t="s">
        <v>1270</v>
      </c>
      <c r="B31" s="1595">
        <f ca="1">'预评函-2'!D15</f>
        <v>15533</v>
      </c>
    </row>
    <row r="32" spans="1:2" s="1596" customFormat="1">
      <c r="A32" s="1594" t="s">
        <v>1237</v>
      </c>
      <c r="B32" s="1595" t="str">
        <f ca="1">'预评函-2'!D14</f>
        <v>伍亿贰仟柒佰玖拾捌万元整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33991.919999999998</v>
      </c>
    </row>
    <row r="44" spans="1:2" s="1596" customFormat="1">
      <c r="A44" s="1594" t="s">
        <v>1269</v>
      </c>
      <c r="B44" s="1595" t="str">
        <f>'预评函-3'!C2</f>
        <v>(分摊)土地面积</v>
      </c>
    </row>
    <row r="45" spans="1:2" s="1596" customFormat="1">
      <c r="A45" s="1594" t="s">
        <v>1241</v>
      </c>
      <c r="B45" s="1595">
        <f>'预评函-3'!C4</f>
        <v>3961.76</v>
      </c>
    </row>
    <row r="46" spans="1:2" s="1596" customFormat="1">
      <c r="A46" s="1594" t="s">
        <v>1267</v>
      </c>
      <c r="B46" s="1595" t="str">
        <f>'预评函-3'!D2</f>
        <v>出让国有建设用地使用权价值</v>
      </c>
    </row>
    <row r="47" spans="1:2" s="1596" customFormat="1">
      <c r="A47" s="1594" t="s">
        <v>1242</v>
      </c>
      <c r="B47" s="1595">
        <f ca="1">'预评函-3'!D4</f>
        <v>24129</v>
      </c>
    </row>
    <row r="48" spans="1:2" s="1596" customFormat="1">
      <c r="A48" s="1594" t="s">
        <v>1243</v>
      </c>
      <c r="B48" s="1595">
        <f ca="1">'预评函-3'!E4</f>
        <v>7822</v>
      </c>
    </row>
    <row r="49" spans="1:2" s="1596" customFormat="1">
      <c r="A49" s="1594" t="s">
        <v>1244</v>
      </c>
      <c r="B49" s="1595" t="str">
        <f ca="1">'预评函-3'!D5</f>
        <v>贰亿肆仟壹佰贰拾玖万元整</v>
      </c>
    </row>
    <row r="50" spans="1:2" s="1596" customFormat="1">
      <c r="A50" s="1594" t="s">
        <v>1268</v>
      </c>
      <c r="B50" s="1595" t="str">
        <f>'预评函-3'!F2</f>
        <v>在建建筑物价值</v>
      </c>
    </row>
    <row r="51" spans="1:2" s="1596" customFormat="1">
      <c r="A51" s="1594" t="s">
        <v>1245</v>
      </c>
      <c r="B51" s="1595">
        <f ca="1">'预评函-3'!F4</f>
        <v>28669</v>
      </c>
    </row>
    <row r="52" spans="1:2" s="1596" customFormat="1">
      <c r="A52" s="1594" t="s">
        <v>1246</v>
      </c>
      <c r="B52" s="1595">
        <f ca="1">'预评函-3'!G4</f>
        <v>9294</v>
      </c>
    </row>
    <row r="53" spans="1:2" s="1596" customFormat="1">
      <c r="A53" s="1594" t="s">
        <v>1274</v>
      </c>
      <c r="B53" s="1595" t="str">
        <f ca="1">'预评函-3'!F5</f>
        <v>贰亿捌仟陆佰陆拾玖万元整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王鹏</v>
      </c>
    </row>
    <row r="73" spans="1:2" s="1590" customFormat="1" ht="15" thickBot="1">
      <c r="A73" s="1597" t="s">
        <v>1259</v>
      </c>
      <c r="B73" s="1598">
        <f ca="1">'预评函-4'!B5</f>
        <v>1120050019</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3235</v>
      </c>
      <c r="C17" s="2018"/>
    </row>
    <row r="18" spans="1:3">
      <c r="A18" s="2017" t="s">
        <v>1763</v>
      </c>
      <c r="B18" s="2017" t="s">
        <v>3254</v>
      </c>
      <c r="C18" s="2018"/>
    </row>
    <row r="19" spans="1:3">
      <c r="A19" s="2017" t="s">
        <v>1764</v>
      </c>
      <c r="B19" s="2017" t="s">
        <v>3277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6"/>
      <c r="B54" s="2025" t="s">
        <v>861</v>
      </c>
      <c r="C54" s="2022" t="s">
        <v>1277</v>
      </c>
    </row>
    <row r="55" spans="1:4">
      <c r="A55" s="3076"/>
      <c r="B55" s="2025" t="s">
        <v>862</v>
      </c>
      <c r="C55" s="2022" t="s">
        <v>1278</v>
      </c>
    </row>
    <row r="56" spans="1:4">
      <c r="A56" s="3076"/>
      <c r="B56" s="2025" t="s">
        <v>863</v>
      </c>
      <c r="C56" s="2022" t="s">
        <v>1282</v>
      </c>
    </row>
    <row r="57" spans="1:4">
      <c r="A57" s="307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5" t="str">
        <f>IF(B10="北京市","北京市",C10)&amp;F10&amp;IF(结果表!G1="在建","出让国有建设用地使用权及在建建筑物",IF(结果表!G1="土地","出让国有建设用地使用权",))&amp;B9&amp;"预评估"</f>
        <v>房地产抵押价值预评估</v>
      </c>
      <c r="C1" s="3086"/>
      <c r="D1" s="3086"/>
      <c r="E1" s="3086"/>
      <c r="F1" s="3086"/>
      <c r="G1" s="3086"/>
      <c r="H1" s="3086"/>
      <c r="I1" s="308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c r="C3" s="2040" t="s">
        <v>1775</v>
      </c>
      <c r="D3" s="2039">
        <v>43532</v>
      </c>
      <c r="E3" s="2029"/>
      <c r="F3" s="2029"/>
      <c r="G3" s="2029"/>
      <c r="H3" s="2029"/>
      <c r="I3" s="2029"/>
      <c r="J3" s="2029"/>
      <c r="K3" s="2030"/>
      <c r="L3" s="2031"/>
      <c r="M3" s="2031"/>
      <c r="N3" s="2032"/>
      <c r="O3" s="2033"/>
      <c r="P3" s="2032"/>
      <c r="Q3" s="2032"/>
      <c r="R3" s="2032"/>
      <c r="S3" s="2034"/>
    </row>
    <row r="4" spans="1:19" ht="18" customHeight="1" thickBot="1">
      <c r="A4" s="2041" t="s">
        <v>1776</v>
      </c>
      <c r="B4" s="2042" t="s">
        <v>3310</v>
      </c>
      <c r="C4" s="1040">
        <f ca="1">SUMIF(注册房地产估价师,B4,估价师及机构信息!B3:B24)</f>
        <v>1120070131</v>
      </c>
      <c r="D4" s="2042" t="s">
        <v>3311</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3052</v>
      </c>
      <c r="C8" s="2059"/>
      <c r="D8" s="3088" t="s">
        <v>1781</v>
      </c>
      <c r="E8" s="2060" t="s">
        <v>3053</v>
      </c>
      <c r="F8" s="2061"/>
      <c r="G8" s="2029"/>
      <c r="H8" s="2029"/>
      <c r="I8" s="2029"/>
      <c r="J8" s="2045"/>
      <c r="K8" s="2046"/>
      <c r="L8" s="2031"/>
      <c r="M8" s="2031"/>
      <c r="N8" s="2032"/>
      <c r="O8" s="2033"/>
      <c r="P8" s="2032"/>
      <c r="Q8" s="2032"/>
      <c r="R8" s="2032"/>
    </row>
    <row r="9" spans="1:19" ht="18" customHeight="1" thickBot="1">
      <c r="A9" s="2043" t="s">
        <v>1782</v>
      </c>
      <c r="B9" s="2062" t="s">
        <v>3053</v>
      </c>
      <c r="C9" s="2063"/>
      <c r="D9" s="3089"/>
      <c r="E9" s="2062"/>
      <c r="F9" s="2064"/>
      <c r="G9" s="2065"/>
      <c r="H9" s="2065"/>
      <c r="I9" s="2065"/>
      <c r="J9" s="2045"/>
      <c r="K9" s="2057"/>
      <c r="L9" s="2031"/>
      <c r="M9" s="2031"/>
      <c r="N9" s="2032"/>
      <c r="O9" s="2033"/>
      <c r="P9" s="2032"/>
      <c r="Q9" s="2032"/>
      <c r="R9" s="2032"/>
    </row>
    <row r="10" spans="1:19" ht="18" customHeight="1" thickTop="1">
      <c r="A10" s="2066" t="s">
        <v>1783</v>
      </c>
      <c r="B10" s="2067"/>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3051</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53466</v>
      </c>
      <c r="F13" s="2083">
        <v>57119</v>
      </c>
      <c r="G13" s="2083">
        <v>57119</v>
      </c>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27.21</v>
      </c>
      <c r="F15" s="1052">
        <f>IF(B12="出让",IF(F13="","",ROUNDDOWN(MIN((F13-$D$3)/365,F14),2)),F14)</f>
        <v>37.22</v>
      </c>
      <c r="G15" s="1052">
        <f>IF(B12="出让",IF(G13="","",ROUNDDOWN(MIN((G13-$D$3)/365,G14),2)),G14)</f>
        <v>37.22</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5"/>
      <c r="C16" s="3096"/>
      <c r="D16" s="3097"/>
      <c r="E16" s="2089" t="s">
        <v>1798</v>
      </c>
      <c r="F16" s="3098"/>
      <c r="G16" s="3099"/>
      <c r="H16" s="3099"/>
      <c r="I16" s="3100"/>
      <c r="J16" s="2032"/>
      <c r="K16" s="2086"/>
      <c r="L16" s="2087"/>
      <c r="M16" s="2087"/>
      <c r="N16" s="2088"/>
      <c r="O16" s="2087"/>
      <c r="P16" s="2088"/>
      <c r="Q16" s="2032"/>
      <c r="R16" s="2032"/>
    </row>
    <row r="17" spans="1:22" ht="18" customHeight="1">
      <c r="A17" s="2090" t="s">
        <v>1799</v>
      </c>
      <c r="B17" s="2038" t="s">
        <v>1800</v>
      </c>
      <c r="C17" s="1057">
        <f>'数据-汇总表'!E3</f>
        <v>33991.919999999998</v>
      </c>
      <c r="D17" s="2091" t="s">
        <v>1801</v>
      </c>
      <c r="E17" s="3101" t="s">
        <v>1802</v>
      </c>
      <c r="F17" s="3102"/>
      <c r="G17" s="3102"/>
      <c r="H17" s="3102"/>
      <c r="I17" s="3103"/>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3961.76</v>
      </c>
      <c r="D18" s="2094" t="s">
        <v>1801</v>
      </c>
      <c r="E18" s="3104" t="s">
        <v>1805</v>
      </c>
      <c r="F18" s="3105"/>
      <c r="G18" s="3105"/>
      <c r="H18" s="3105"/>
      <c r="I18" s="3106"/>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91" t="s">
        <v>1810</v>
      </c>
      <c r="C20" s="3092"/>
      <c r="D20" s="3093" t="s">
        <v>1811</v>
      </c>
      <c r="E20" s="3094"/>
      <c r="F20" s="2101" t="s">
        <v>1812</v>
      </c>
      <c r="G20" s="2045"/>
      <c r="H20" s="2045"/>
      <c r="I20" s="2045"/>
      <c r="J20" s="2045"/>
      <c r="K20" s="3090"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9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9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78"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78"/>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78"/>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79"/>
      <c r="B30" s="2038" t="s">
        <v>1829</v>
      </c>
      <c r="C30" s="3080"/>
      <c r="D30" s="308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2"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8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8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77" t="s">
        <v>1839</v>
      </c>
      <c r="T34" s="2138" t="str">
        <f>NUMBERSTRING(7-K34,1)&amp;"通"</f>
        <v>七通</v>
      </c>
      <c r="U34" s="2032"/>
      <c r="V34" s="2032"/>
    </row>
    <row r="35" spans="1:22" ht="18" customHeight="1">
      <c r="A35" s="2139"/>
      <c r="B35" s="3084" t="s">
        <v>1840</v>
      </c>
      <c r="C35" s="3084"/>
      <c r="D35" s="3084"/>
      <c r="E35" s="308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7"/>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ROUND(G13/8.58,2)</f>
        <v>3961.76</v>
      </c>
      <c r="B3" s="14">
        <f>IF(C3="否",G5-AT5,G5)</f>
        <v>33991.919999999998</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33991.919999999998</v>
      </c>
      <c r="H5" s="16">
        <f t="shared" ref="H5:AT5" si="0">SUM(H13:H656)</f>
        <v>33991.919999999998</v>
      </c>
      <c r="I5" s="16">
        <f t="shared" si="0"/>
        <v>21328.769999999997</v>
      </c>
      <c r="J5" s="16">
        <f t="shared" si="0"/>
        <v>0</v>
      </c>
      <c r="K5" s="16">
        <f t="shared" si="0"/>
        <v>9518.2599999999984</v>
      </c>
      <c r="L5" s="16">
        <f t="shared" si="0"/>
        <v>0</v>
      </c>
      <c r="M5" s="16">
        <f t="shared" si="0"/>
        <v>0</v>
      </c>
      <c r="N5" s="16">
        <f t="shared" si="0"/>
        <v>0</v>
      </c>
      <c r="O5" s="16">
        <f t="shared" si="0"/>
        <v>3144.8900000000003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33991.919999999998</v>
      </c>
      <c r="BA5" s="18">
        <f t="shared" si="1"/>
        <v>33991.919999999998</v>
      </c>
      <c r="BB5" s="18">
        <f t="shared" si="1"/>
        <v>21328.769999999997</v>
      </c>
      <c r="BC5" s="18">
        <f t="shared" si="1"/>
        <v>9518.2599999999984</v>
      </c>
      <c r="BD5" s="18">
        <f t="shared" si="1"/>
        <v>0</v>
      </c>
      <c r="BE5" s="18">
        <f t="shared" si="1"/>
        <v>3144.8900000000003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3961.7599999999998</v>
      </c>
      <c r="F6" s="16" t="s">
        <v>1</v>
      </c>
      <c r="G6" s="16" t="s">
        <v>2</v>
      </c>
      <c r="H6" s="20">
        <f>SUMIF(I$12:AB$12,"总值",I6:AB6)</f>
        <v>3961.7599999999998</v>
      </c>
      <c r="I6" s="16">
        <f t="shared" ref="I6:AB6" si="2">ROUND($A$3*I5/$B$3,2)</f>
        <v>2485.87</v>
      </c>
      <c r="J6" s="16">
        <f t="shared" si="2"/>
        <v>0</v>
      </c>
      <c r="K6" s="16">
        <f t="shared" si="2"/>
        <v>1109.3499999999999</v>
      </c>
      <c r="L6" s="16">
        <f t="shared" si="2"/>
        <v>0</v>
      </c>
      <c r="M6" s="16">
        <f t="shared" si="2"/>
        <v>0</v>
      </c>
      <c r="N6" s="16">
        <f t="shared" si="2"/>
        <v>0</v>
      </c>
      <c r="O6" s="16">
        <f t="shared" si="2"/>
        <v>366.54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3961.76</v>
      </c>
      <c r="AZ6" s="16" t="s">
        <v>3</v>
      </c>
      <c r="BA6" s="16">
        <f>ROUND($AY$6*BA5/$AZ$5,2)</f>
        <v>3961.76</v>
      </c>
      <c r="BB6" s="16">
        <f>ROUND($AY$6*BB5/$AZ$5,2)</f>
        <v>2485.87</v>
      </c>
      <c r="BC6" s="16">
        <f t="shared" ref="BC6:BH6" si="4">ROUND($AY$6*BC5/$AZ$5,2)</f>
        <v>1109.3499999999999</v>
      </c>
      <c r="BD6" s="16">
        <f t="shared" si="4"/>
        <v>0</v>
      </c>
      <c r="BE6" s="16">
        <f t="shared" si="4"/>
        <v>366.54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3206</v>
      </c>
      <c r="J9" s="984"/>
      <c r="K9" s="2195" t="s">
        <v>3207</v>
      </c>
      <c r="L9" s="984"/>
      <c r="M9" s="2195" t="s">
        <v>3207</v>
      </c>
      <c r="N9" s="984"/>
      <c r="O9" s="2195" t="s">
        <v>3206</v>
      </c>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t="s">
        <v>1373</v>
      </c>
      <c r="L10" s="984"/>
      <c r="M10" s="2201" t="s">
        <v>3208</v>
      </c>
      <c r="N10" s="984"/>
      <c r="O10" s="2201" t="s">
        <v>27</v>
      </c>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t="str">
        <f>O9</f>
        <v>地上</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车库—商业</v>
      </c>
      <c r="BE11" s="2191" t="str">
        <f>O10</f>
        <v>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85" t="s">
        <v>3203</v>
      </c>
      <c r="D13" s="2987" t="s">
        <v>3205</v>
      </c>
      <c r="E13" s="16">
        <f>IF($C$3="是",ROUND($A$3*G13/$B$3,2),ROUND($A$3*(G13-AT13)/$B$3,2))</f>
        <v>3961.76</v>
      </c>
      <c r="F13" s="32"/>
      <c r="G13" s="33">
        <f>H13+AC13+AT13</f>
        <v>33991.919999999998</v>
      </c>
      <c r="H13" s="20">
        <f>SUMIF(I$12:AB$12,"总值",I13:AB13)</f>
        <v>33991.919999999998</v>
      </c>
      <c r="I13" s="2218">
        <f>Sheet1!C34+Sheet1!C33+Sheet1!D31+Sheet1!D32+Sheet1!D33+Sheet1!D34+Sheet1!E32+Sheet1!E33+Sheet1!E34</f>
        <v>21328.769999999997</v>
      </c>
      <c r="J13" s="2218"/>
      <c r="K13" s="2218">
        <f>Sheet1!C35+Sheet1!D35+Sheet1!E35</f>
        <v>9518.2599999999984</v>
      </c>
      <c r="L13" s="2218"/>
      <c r="M13" s="2218">
        <f>Sheet1!D36</f>
        <v>0</v>
      </c>
      <c r="N13" s="2218"/>
      <c r="O13" s="2218">
        <f>Sheet1!C32+Sheet1!C31+Sheet1!C30+Sheet1!C29+Sheet1!C28</f>
        <v>3144.8900000000003</v>
      </c>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抵押</v>
      </c>
      <c r="AY13" s="1809">
        <f>ROUND($AY$6*AZ13/$AZ$5,2)</f>
        <v>3961.76</v>
      </c>
      <c r="AZ13" s="16">
        <f>BA13+BL13</f>
        <v>33991.919999999998</v>
      </c>
      <c r="BA13" s="16">
        <f>SUM(BB13:BK13)</f>
        <v>33991.919999999998</v>
      </c>
      <c r="BB13" s="16">
        <f>IF($D13="是",I13-J13,0)</f>
        <v>21328.769999999997</v>
      </c>
      <c r="BC13" s="16">
        <f>IF($D13="是",K13-L13,0)</f>
        <v>9518.2599999999984</v>
      </c>
      <c r="BD13" s="16">
        <f>IF($D13="是",M13-N13,0)</f>
        <v>0</v>
      </c>
      <c r="BE13" s="16">
        <f>IF($D13="是",O13-P13,0)</f>
        <v>3144.8900000000003</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6"/>
      <c r="D14" s="298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7" t="s">
        <v>0</v>
      </c>
      <c r="B1" s="3107" t="s">
        <v>4</v>
      </c>
      <c r="C1" s="3107" t="s">
        <v>5</v>
      </c>
      <c r="D1" s="3108" t="s">
        <v>53</v>
      </c>
      <c r="E1" s="3108" t="s">
        <v>54</v>
      </c>
      <c r="F1" s="3108"/>
      <c r="G1" s="3108"/>
      <c r="H1" s="3108"/>
      <c r="I1" s="3108"/>
      <c r="J1" s="3108"/>
      <c r="K1" s="3108"/>
      <c r="L1" s="3108"/>
      <c r="M1" s="3108"/>
    </row>
    <row r="2" spans="1:13" ht="27" customHeight="1">
      <c r="A2" s="3107"/>
      <c r="B2" s="3107"/>
      <c r="C2" s="3107"/>
      <c r="D2" s="3108"/>
      <c r="E2" s="3108" t="s">
        <v>37</v>
      </c>
      <c r="F2" s="3108" t="s">
        <v>38</v>
      </c>
      <c r="G2" s="3108"/>
      <c r="H2" s="3108"/>
      <c r="I2" s="3108"/>
      <c r="J2" s="3108" t="s">
        <v>39</v>
      </c>
      <c r="K2" s="3108"/>
      <c r="L2" s="3108"/>
      <c r="M2" s="3108"/>
    </row>
    <row r="3" spans="1:13" ht="28.5">
      <c r="A3" s="3107"/>
      <c r="B3" s="3107"/>
      <c r="C3" s="3107"/>
      <c r="D3" s="3108"/>
      <c r="E3" s="31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8" t="s">
        <v>55</v>
      </c>
      <c r="B9" s="3108"/>
      <c r="C9" s="31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H39" sqref="H3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118" t="s">
        <v>1936</v>
      </c>
      <c r="B2" s="3118"/>
      <c r="C2" s="3118"/>
      <c r="D2" s="970" t="s">
        <v>1912</v>
      </c>
      <c r="E2" s="2231" t="s">
        <v>1913</v>
      </c>
      <c r="F2" s="1395"/>
      <c r="G2" s="2232"/>
      <c r="H2" s="2233"/>
      <c r="I2" s="2234" t="s">
        <v>1937</v>
      </c>
      <c r="J2" s="1395"/>
      <c r="K2" s="1395"/>
      <c r="L2" s="1395"/>
      <c r="M2" s="1395"/>
      <c r="N2" s="1430"/>
      <c r="O2" s="1395"/>
      <c r="P2" s="1395"/>
    </row>
    <row r="3" spans="1:16" ht="15.75" thickBot="1">
      <c r="A3" s="3119" t="s">
        <v>1910</v>
      </c>
      <c r="B3" s="3119"/>
      <c r="C3" s="3119"/>
      <c r="D3" s="46">
        <f>'数据-基础表'!AY6</f>
        <v>3961.76</v>
      </c>
      <c r="E3" s="46">
        <f>'数据-基础表'!AZ5</f>
        <v>33991.919999999998</v>
      </c>
      <c r="F3" s="1395"/>
      <c r="G3" s="1402"/>
      <c r="H3" s="1250" t="s">
        <v>1911</v>
      </c>
      <c r="I3" s="55">
        <f>ROUND('数据-基础表'!B3/'数据-基础表'!A3,2)</f>
        <v>8.58</v>
      </c>
      <c r="J3" s="1395"/>
      <c r="K3" s="1395"/>
      <c r="L3" s="1395"/>
      <c r="M3" s="1395"/>
      <c r="N3" s="1430"/>
      <c r="O3" s="1395"/>
      <c r="P3" s="1395"/>
    </row>
    <row r="4" spans="1:16" ht="15">
      <c r="A4" s="3120"/>
      <c r="B4" s="3121"/>
      <c r="C4" s="3122"/>
      <c r="D4" s="2235" t="s">
        <v>1912</v>
      </c>
      <c r="E4" s="2236" t="s">
        <v>1913</v>
      </c>
      <c r="F4" s="1395"/>
      <c r="G4" s="2237" t="s">
        <v>1938</v>
      </c>
      <c r="H4" s="1250" t="s">
        <v>1918</v>
      </c>
      <c r="I4" s="55">
        <f>ROUND(SUMIF('数据-基础表'!I9:AS9,"地上",'数据-基础表'!I5:AS5)/'数据-基础表'!A3,2)</f>
        <v>6.18</v>
      </c>
      <c r="J4" s="1395"/>
      <c r="K4" s="1395"/>
      <c r="L4" s="1395"/>
      <c r="M4" s="1395"/>
      <c r="N4" s="1430"/>
      <c r="O4" s="1395"/>
      <c r="P4" s="1395"/>
    </row>
    <row r="5" spans="1:16">
      <c r="A5" s="47" t="s">
        <v>1914</v>
      </c>
      <c r="B5" s="3123" t="s">
        <v>1915</v>
      </c>
      <c r="C5" s="3123"/>
      <c r="D5" s="48">
        <f>ROUND($D$3*E5/$E$3,2)</f>
        <v>0</v>
      </c>
      <c r="E5" s="49">
        <f>SUMIF('数据-基础表'!$11:$11,"住宅",'数据-基础表'!$5:$5)</f>
        <v>0</v>
      </c>
      <c r="F5" s="1395"/>
      <c r="G5" s="1402"/>
      <c r="H5" s="1250" t="s">
        <v>1911</v>
      </c>
      <c r="I5" s="55">
        <f>ROUND(E31/D31,2)</f>
        <v>8.58</v>
      </c>
      <c r="J5" s="1395"/>
      <c r="K5" s="1395"/>
      <c r="L5" s="1395"/>
      <c r="M5" s="1395"/>
      <c r="N5" s="1395"/>
      <c r="O5" s="1395"/>
      <c r="P5" s="1395"/>
    </row>
    <row r="6" spans="1:16" ht="15" thickBot="1">
      <c r="A6" s="2238"/>
      <c r="B6" s="3123" t="s">
        <v>1916</v>
      </c>
      <c r="C6" s="3123"/>
      <c r="D6" s="48">
        <f>ROUND($D$3*E6/$E$3,2)</f>
        <v>3961.76</v>
      </c>
      <c r="E6" s="49">
        <f>E3-E5</f>
        <v>33991.919999999998</v>
      </c>
      <c r="F6" s="1395"/>
      <c r="G6" s="2239" t="s">
        <v>1917</v>
      </c>
      <c r="H6" s="1402" t="s">
        <v>1918</v>
      </c>
      <c r="I6" s="942">
        <f>ROUND(F31/D31,2)</f>
        <v>6.18</v>
      </c>
      <c r="J6" s="1395"/>
      <c r="K6" s="1395"/>
      <c r="L6" s="1395"/>
      <c r="M6" s="1395"/>
      <c r="N6" s="1395"/>
      <c r="O6" s="1395"/>
      <c r="P6" s="1395"/>
    </row>
    <row r="7" spans="1:16" ht="15">
      <c r="A7" s="3115"/>
      <c r="B7" s="3116"/>
      <c r="C7" s="3117"/>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2852.41</v>
      </c>
      <c r="E8" s="51">
        <f>SUMIF('数据-基础表'!BB10:BK10,"地上",'数据-基础表'!BB5:BK5)</f>
        <v>24473.659999999996</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1109.3499999999999</v>
      </c>
      <c r="E10" s="51">
        <f>SUMPRODUCT(('数据-基础表'!BB10:BK10="地下")*('数据-基础表'!BB11:BK11="商业")*('数据-基础表'!BB5:BK5))</f>
        <v>9518.2599999999984</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3961.7599999999998</v>
      </c>
      <c r="E16" s="53">
        <f>SUM(E8:E15)</f>
        <v>33991.919999999998</v>
      </c>
      <c r="F16" s="1395"/>
      <c r="G16" s="2241"/>
      <c r="H16" s="2244" t="s">
        <v>1940</v>
      </c>
      <c r="I16" s="2245"/>
      <c r="J16" s="1395"/>
      <c r="K16" s="3112" t="s">
        <v>1940</v>
      </c>
      <c r="L16" s="3113"/>
      <c r="M16" s="3113"/>
      <c r="N16" s="3113"/>
      <c r="O16" s="3113"/>
      <c r="P16" s="3114"/>
    </row>
    <row r="17" spans="1:19" ht="15">
      <c r="A17" s="2246" t="s">
        <v>1941</v>
      </c>
      <c r="B17" s="2247" t="s">
        <v>1942</v>
      </c>
      <c r="C17" s="2248" t="s">
        <v>1943</v>
      </c>
      <c r="D17" s="2249" t="s">
        <v>1931</v>
      </c>
      <c r="E17" s="2250" t="s">
        <v>1932</v>
      </c>
      <c r="F17" s="2251"/>
      <c r="G17" s="2252"/>
      <c r="H17" s="2253" t="s">
        <v>1944</v>
      </c>
      <c r="I17" s="2254" t="s">
        <v>1929</v>
      </c>
      <c r="J17" s="1395"/>
      <c r="K17" s="3109" t="s">
        <v>1945</v>
      </c>
      <c r="L17" s="3110"/>
      <c r="M17" s="3111"/>
      <c r="N17" s="3109" t="s">
        <v>1946</v>
      </c>
      <c r="O17" s="3110"/>
      <c r="P17" s="3111"/>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88" t="s">
        <v>3209</v>
      </c>
      <c r="D19" s="48">
        <f>ROUND($D$3*E19/$E$3,2)</f>
        <v>3595.22</v>
      </c>
      <c r="E19" s="56">
        <f t="shared" ref="E19:E26" si="1">SUM(F19:G19)</f>
        <v>30847.029999999995</v>
      </c>
      <c r="F19" s="57">
        <f>'数据-基础表'!I13</f>
        <v>21328.769999999997</v>
      </c>
      <c r="G19" s="58">
        <f>'数据-基础表'!K13</f>
        <v>9518.2599999999984</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3595.22</v>
      </c>
      <c r="S19" s="1251">
        <f t="shared" si="5"/>
        <v>30847.029999999995</v>
      </c>
    </row>
    <row r="20" spans="1:19">
      <c r="A20" s="2266"/>
      <c r="B20" s="50" t="s">
        <v>1958</v>
      </c>
      <c r="C20" s="2988" t="s">
        <v>3210</v>
      </c>
      <c r="D20" s="48">
        <f t="shared" ref="D20:D26" si="6">ROUND($D$3*E20/$E$3,2)</f>
        <v>0</v>
      </c>
      <c r="E20" s="56">
        <f t="shared" si="1"/>
        <v>0</v>
      </c>
      <c r="F20" s="57"/>
      <c r="G20" s="58">
        <f>'数据-基础表'!M13</f>
        <v>0</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988" t="s">
        <v>3252</v>
      </c>
      <c r="D21" s="48">
        <f t="shared" si="6"/>
        <v>366.54</v>
      </c>
      <c r="E21" s="56">
        <f t="shared" si="1"/>
        <v>3144.8900000000003</v>
      </c>
      <c r="F21" s="57">
        <f>'数据-基础表'!O13</f>
        <v>3144.8900000000003</v>
      </c>
      <c r="G21" s="58"/>
      <c r="H21" s="723">
        <f t="shared" si="7"/>
        <v>0</v>
      </c>
      <c r="I21" s="51">
        <f t="shared" si="2"/>
        <v>0</v>
      </c>
      <c r="J21" s="1395"/>
      <c r="K21" s="1394">
        <f t="shared" si="3"/>
        <v>0</v>
      </c>
      <c r="L21" s="1250">
        <f t="shared" si="4"/>
        <v>0</v>
      </c>
      <c r="M21" s="1406">
        <f t="shared" si="8"/>
        <v>0</v>
      </c>
      <c r="N21" s="2264"/>
      <c r="O21" s="2265"/>
      <c r="P21" s="1406">
        <f t="shared" si="9"/>
        <v>0</v>
      </c>
      <c r="R21" s="1250">
        <f t="shared" si="5"/>
        <v>366.54</v>
      </c>
      <c r="S21" s="1251">
        <f t="shared" si="5"/>
        <v>3144.8900000000003</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3961.7599999999998</v>
      </c>
      <c r="E27" s="1397">
        <f>IF(SUM(E19:E26)='数据-基础表'!BA5,SUM(E19:E26),IF(F27="地上面积有误","面积有误","地下面积有误"))</f>
        <v>33991.919999999998</v>
      </c>
      <c r="F27" s="1396">
        <f>IF(SUM(F19:F26)=E8,SUM(F19:F26),"地上面积有误")</f>
        <v>24473.659999999996</v>
      </c>
      <c r="G27" s="1398">
        <f>SUM(G19:G26)</f>
        <v>9518.2599999999984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3961.7599999999998</v>
      </c>
      <c r="S27" s="1250">
        <f>IF(SUM(S19:S26)=$E$3,SUM(S19:S26),SUM(S19:S26)&amp;"误差"&amp;ROUND(SUM(S19:S26)-E3,2))</f>
        <v>33991.919999999998</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3961.7599999999998</v>
      </c>
      <c r="E31" s="729">
        <f>E27+E30</f>
        <v>33991.919999999998</v>
      </c>
      <c r="F31" s="730">
        <f>F27+F30</f>
        <v>24473.659999999996</v>
      </c>
      <c r="G31" s="731">
        <f>G27+G30</f>
        <v>9518.2599999999984</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9" sqref="L9"/>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3.625" style="2278" customWidth="1"/>
    <col min="21" max="21" width="10.75" style="2278" customWidth="1"/>
    <col min="22" max="22" width="8.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1966</v>
      </c>
      <c r="B2" s="1269">
        <f>项目基本情况!D3</f>
        <v>43532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8" t="s">
        <v>1971</v>
      </c>
      <c r="AA4" s="2248"/>
      <c r="AB4" s="2248"/>
      <c r="AC4" s="2248"/>
      <c r="AD4" s="2248"/>
      <c r="AE4" s="2246" t="s">
        <v>1972</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3212</v>
      </c>
      <c r="O5" s="2299" t="s">
        <v>1986</v>
      </c>
      <c r="P5" s="2302" t="s">
        <v>1987</v>
      </c>
      <c r="Q5" s="69" t="s">
        <v>1988</v>
      </c>
      <c r="R5" s="2303" t="s">
        <v>1989</v>
      </c>
      <c r="S5" s="2304" t="s">
        <v>1990</v>
      </c>
      <c r="T5" s="2305" t="s">
        <v>1991</v>
      </c>
      <c r="U5" s="1270" t="s">
        <v>1992</v>
      </c>
      <c r="V5" s="1271" t="s">
        <v>1993</v>
      </c>
      <c r="W5" s="1271" t="s">
        <v>1994</v>
      </c>
      <c r="X5" s="71"/>
      <c r="Y5" s="70" t="s">
        <v>1995</v>
      </c>
      <c r="Z5" s="2306" t="s">
        <v>1992</v>
      </c>
      <c r="AA5" s="1271" t="s">
        <v>1993</v>
      </c>
      <c r="AB5" s="1271" t="s">
        <v>1994</v>
      </c>
      <c r="AC5" s="71"/>
      <c r="AD5" s="71" t="s">
        <v>1995</v>
      </c>
      <c r="AE5" s="1270" t="s">
        <v>1996</v>
      </c>
      <c r="AF5" s="1271" t="s">
        <v>1997</v>
      </c>
      <c r="AG5" s="70" t="s">
        <v>1998</v>
      </c>
      <c r="AH5" s="1270" t="s">
        <v>1999</v>
      </c>
      <c r="AI5" s="2306" t="s">
        <v>2000</v>
      </c>
      <c r="AJ5" s="2306" t="s">
        <v>2001</v>
      </c>
      <c r="AK5" s="1271" t="s">
        <v>2002</v>
      </c>
      <c r="AL5" s="1271" t="s">
        <v>2003</v>
      </c>
      <c r="AM5" s="70" t="s">
        <v>2004</v>
      </c>
      <c r="AN5" s="2307" t="s">
        <v>2005</v>
      </c>
      <c r="AO5" s="2078" t="s">
        <v>2006</v>
      </c>
      <c r="AP5" s="1252" t="s">
        <v>2007</v>
      </c>
      <c r="AQ5" s="2308" t="s">
        <v>2008</v>
      </c>
      <c r="AR5" s="2308"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商业</v>
      </c>
      <c r="B6" s="2310" t="str">
        <f>IF(A6=0,"","经营性")</f>
        <v>经营性</v>
      </c>
      <c r="C6" s="2311" t="s">
        <v>1373</v>
      </c>
      <c r="D6" s="1054">
        <f>SUMIF(项目基本情况!D$12:I$12,C6,项目基本情况!D$14:I$14)</f>
        <v>40</v>
      </c>
      <c r="E6" s="1051">
        <f>IF(B6="","",SUMIF(项目基本情况!D$12:I$12,C6,项目基本情况!D$13:I$13))</f>
        <v>53466</v>
      </c>
      <c r="F6" s="72">
        <f>SUMIF(项目基本情况!D$12:I$12,C6,项目基本情况!D$15:I$15)</f>
        <v>27.21</v>
      </c>
      <c r="G6" s="73">
        <f>IF(ISERROR(ROUND(POWER(1+H6,D6-F6)*(POWER(1+H6,F6)-1)/(POWER(1+H6,D6)-1),3)),0,ROUND(POWER(1+H6,D6-F6)*(POWER(1+H6,F6)-1)/(POWER(1+H6,D6)-1),3))</f>
        <v>0.85699999999999998</v>
      </c>
      <c r="H6" s="802">
        <v>0.05</v>
      </c>
      <c r="I6" s="802">
        <v>5.5E-2</v>
      </c>
      <c r="J6" s="74">
        <v>0.08</v>
      </c>
      <c r="K6" s="1254">
        <f>SUMIF('数据-汇总表'!C$19:C$33,A6,'数据-汇总表'!E$19:E$33)</f>
        <v>30847.029999999995</v>
      </c>
      <c r="L6" s="803">
        <v>3300</v>
      </c>
      <c r="M6" s="75">
        <f t="shared" ref="M6:M14" si="0">ROUND(K6*L6/10000,0)</f>
        <v>10180</v>
      </c>
      <c r="N6" s="801">
        <v>0.88</v>
      </c>
      <c r="O6" s="75" t="str">
        <f>IF($N$5="成新度","——",ROUND(M6*N6,0))</f>
        <v>——</v>
      </c>
      <c r="P6" s="76" t="str">
        <f>IF($N$5="成新度","——",M6-O6)</f>
        <v>——</v>
      </c>
      <c r="Q6" s="804">
        <v>0.2</v>
      </c>
      <c r="R6" s="77">
        <f ca="1">SUMIF('数据-汇总表'!C$19:C$33,A6,'数据-汇总表'!R$19:R$27)</f>
        <v>3595.22</v>
      </c>
      <c r="S6" s="54">
        <f>IF('数据-汇总表'!$I$17="按面积比例",SUMIF('数据-汇总表'!C$19:C$33,A6,'数据-汇总表'!K$19:K$33),SUMIF('数据-汇总表'!C$19:C$33,A6,'数据-汇总表'!N$19:N$33))</f>
        <v>0</v>
      </c>
      <c r="T6" s="1446">
        <f>ROUND($L$14*S6/10000,0)</f>
        <v>0</v>
      </c>
      <c r="U6" s="78">
        <f>W28</f>
        <v>2.08</v>
      </c>
      <c r="V6" s="79">
        <v>0.02</v>
      </c>
      <c r="W6" s="79">
        <v>0.1</v>
      </c>
      <c r="X6" s="1264"/>
      <c r="Y6" s="80">
        <f>N6</f>
        <v>0.88</v>
      </c>
      <c r="Z6" s="81"/>
      <c r="AA6" s="74"/>
      <c r="AB6" s="74"/>
      <c r="AC6" s="1264"/>
      <c r="AD6" s="82"/>
      <c r="AE6" s="1265">
        <f ca="1">IF(AN6="",0,SUMIF(INDIRECT("'"&amp;AN6&amp;"'"&amp;"!E:E"),$AE$5,INDIRECT("'"&amp;AN6&amp;"'"&amp;"!F:F")))</f>
        <v>27.21</v>
      </c>
      <c r="AF6" s="1807"/>
      <c r="AG6" s="147">
        <f>IF(AF6="",0,AE6-AF6)</f>
        <v>0</v>
      </c>
      <c r="AH6" s="83"/>
      <c r="AI6" s="85">
        <v>365</v>
      </c>
      <c r="AJ6" s="86"/>
      <c r="AK6" s="87">
        <v>1.4999999999999999E-2</v>
      </c>
      <c r="AL6" s="88">
        <v>1.5E-3</v>
      </c>
      <c r="AM6" s="89">
        <v>0.02</v>
      </c>
      <c r="AN6" s="2312" t="s">
        <v>3236</v>
      </c>
      <c r="AO6" s="55">
        <f ca="1">SUMIF(INDIRECT("'"&amp;AN6&amp;"'"&amp;"!A:A"),"总价",INDIRECT("'"&amp;AN6&amp;"'"&amp;"!B:B"))</f>
        <v>24834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地下车库</v>
      </c>
      <c r="B7" s="2310" t="str">
        <f t="shared" ref="B7:B13" si="1">IF(A7=0,"","经营性")</f>
        <v>经营性</v>
      </c>
      <c r="C7" s="2311" t="s">
        <v>3211</v>
      </c>
      <c r="D7" s="1054">
        <f>SUMIF(项目基本情况!D$12:I$12,C7,项目基本情况!D$14:I$14)</f>
        <v>50</v>
      </c>
      <c r="E7" s="1051">
        <f>IF(B7="","",SUMIF(项目基本情况!D$12:I$12,C7,项目基本情况!D$13:I$13))</f>
        <v>57119</v>
      </c>
      <c r="F7" s="72">
        <f>SUMIF(项目基本情况!D$12:I$12,C7,项目基本情况!D$15:I$15)</f>
        <v>37.22</v>
      </c>
      <c r="G7" s="73">
        <f t="shared" ref="G7:G11" si="2">IF(ISERROR(ROUND(POWER(1+H7,D7-F7)*(POWER(1+H7,F7)-1)/(POWER(1+H7,D7)-1),3)),0,ROUND(POWER(1+H7,D7-F7)*(POWER(1+H7,F7)-1)/(POWER(1+H7,D7)-1),3))</f>
        <v>0.89300000000000002</v>
      </c>
      <c r="H7" s="802">
        <v>0.04</v>
      </c>
      <c r="I7" s="802">
        <v>4.4999999999999998E-2</v>
      </c>
      <c r="J7" s="74">
        <v>0.08</v>
      </c>
      <c r="K7" s="1254">
        <f>SUMIF('数据-汇总表'!C$19:C$33,A7,'数据-汇总表'!E$19:E$33)</f>
        <v>0</v>
      </c>
      <c r="L7" s="803">
        <v>2000</v>
      </c>
      <c r="M7" s="75">
        <f t="shared" si="0"/>
        <v>0</v>
      </c>
      <c r="N7" s="801">
        <f>N6</f>
        <v>0.88</v>
      </c>
      <c r="O7" s="75" t="str">
        <f t="shared" ref="O7:O14" si="3">IF($N$5="成新度","——",ROUND(M7*N7,0))</f>
        <v>——</v>
      </c>
      <c r="P7" s="76" t="str">
        <f t="shared" ref="P7:P14" si="4">IF($N$5="成新度","——",M7-O7)</f>
        <v>——</v>
      </c>
      <c r="Q7" s="804">
        <v>0.1</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0.5</v>
      </c>
      <c r="V7" s="79">
        <v>0.02</v>
      </c>
      <c r="W7" s="79">
        <v>0.1</v>
      </c>
      <c r="X7" s="1264"/>
      <c r="Y7" s="80">
        <f>N6</f>
        <v>0.88</v>
      </c>
      <c r="Z7" s="81"/>
      <c r="AA7" s="74"/>
      <c r="AB7" s="74"/>
      <c r="AC7" s="1264"/>
      <c r="AD7" s="82"/>
      <c r="AE7" s="1265">
        <f t="shared" ref="AE7:AE13" ca="1" si="6">IF(AN7="",0,SUMIF(INDIRECT("'"&amp;AN7&amp;"'"&amp;"!E:E"),$AE$5,INDIRECT("'"&amp;AN7&amp;"'"&amp;"!F:F")))</f>
        <v>37.22</v>
      </c>
      <c r="AF7" s="1807"/>
      <c r="AG7" s="147">
        <f t="shared" ref="AG7:AG13" si="7">IF(AF7="",0,AE7-AF7)</f>
        <v>0</v>
      </c>
      <c r="AH7" s="83"/>
      <c r="AI7" s="85">
        <v>365</v>
      </c>
      <c r="AJ7" s="86"/>
      <c r="AK7" s="87">
        <v>1.4999999999999999E-2</v>
      </c>
      <c r="AL7" s="88">
        <v>1.5E-3</v>
      </c>
      <c r="AM7" s="89">
        <v>0.02</v>
      </c>
      <c r="AN7" s="2312" t="s">
        <v>3234</v>
      </c>
      <c r="AO7" s="55">
        <f t="shared" ref="AO7:AO13" ca="1" si="8">SUMIF(INDIRECT("'"&amp;AN7&amp;"'"&amp;"!A:A"),"总价",INDIRECT("'"&amp;AN7&amp;"'"&amp;"!B:B"))</f>
        <v>0</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办公</v>
      </c>
      <c r="B8" s="2310" t="str">
        <f t="shared" si="1"/>
        <v>经营性</v>
      </c>
      <c r="C8" s="2311" t="s">
        <v>27</v>
      </c>
      <c r="D8" s="1054">
        <f>SUMIF(项目基本情况!D$12:I$12,C8,项目基本情况!D$14:I$14)</f>
        <v>50</v>
      </c>
      <c r="E8" s="1051">
        <f>IF(B8="","",SUMIF(项目基本情况!D$12:I$12,C8,项目基本情况!D$13:I$13))</f>
        <v>57119</v>
      </c>
      <c r="F8" s="72">
        <f>SUMIF(项目基本情况!D$12:I$12,C8,项目基本情况!D$15:I$15)</f>
        <v>37.22</v>
      </c>
      <c r="G8" s="73">
        <f t="shared" si="2"/>
        <v>0.90600000000000003</v>
      </c>
      <c r="H8" s="802">
        <v>4.4999999999999998E-2</v>
      </c>
      <c r="I8" s="802">
        <v>0.05</v>
      </c>
      <c r="J8" s="74">
        <v>0.08</v>
      </c>
      <c r="K8" s="1254">
        <f>SUMIF('数据-汇总表'!C$19:C$33,A8,'数据-汇总表'!E$19:E$33)</f>
        <v>3144.8900000000003</v>
      </c>
      <c r="L8" s="803">
        <v>3300</v>
      </c>
      <c r="M8" s="75">
        <f>ROUND(K8*L8/10000,0)</f>
        <v>1038</v>
      </c>
      <c r="N8" s="801">
        <f>N6</f>
        <v>0.88</v>
      </c>
      <c r="O8" s="75" t="str">
        <f t="shared" si="3"/>
        <v>——</v>
      </c>
      <c r="P8" s="76" t="str">
        <f t="shared" si="4"/>
        <v>——</v>
      </c>
      <c r="Q8" s="804">
        <v>0.2</v>
      </c>
      <c r="R8" s="77">
        <f ca="1">SUMIF('数据-汇总表'!C$19:C$33,A8,'数据-汇总表'!R$19:R$27)</f>
        <v>366.54</v>
      </c>
      <c r="S8" s="54">
        <f>IF('数据-汇总表'!$I$17="按面积比例",SUMIF('数据-汇总表'!C$19:C$33,A8,'数据-汇总表'!K$19:K$33),SUMIF('数据-汇总表'!C$19:C$33,A8,'数据-汇总表'!N$19:N$33))</f>
        <v>0</v>
      </c>
      <c r="T8" s="1446">
        <f t="shared" si="5"/>
        <v>0</v>
      </c>
      <c r="U8" s="805">
        <v>2</v>
      </c>
      <c r="V8" s="806">
        <v>0.02</v>
      </c>
      <c r="W8" s="806">
        <v>0.1</v>
      </c>
      <c r="X8" s="1264"/>
      <c r="Y8" s="807">
        <v>0.88</v>
      </c>
      <c r="Z8" s="81"/>
      <c r="AA8" s="74"/>
      <c r="AB8" s="74"/>
      <c r="AC8" s="1264"/>
      <c r="AD8" s="82"/>
      <c r="AE8" s="1265">
        <f t="shared" ca="1" si="6"/>
        <v>37.22</v>
      </c>
      <c r="AF8" s="1807"/>
      <c r="AG8" s="147">
        <f t="shared" si="7"/>
        <v>0</v>
      </c>
      <c r="AH8" s="808"/>
      <c r="AI8" s="85">
        <v>365</v>
      </c>
      <c r="AJ8" s="86"/>
      <c r="AK8" s="809">
        <v>1.4999999999999999E-2</v>
      </c>
      <c r="AL8" s="810">
        <v>1.5E-3</v>
      </c>
      <c r="AM8" s="811">
        <v>0.02</v>
      </c>
      <c r="AN8" s="2312" t="s">
        <v>3253</v>
      </c>
      <c r="AO8" s="55">
        <f t="shared" ca="1" si="8"/>
        <v>3102</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2010</v>
      </c>
      <c r="B14" s="2310" t="s">
        <v>2011</v>
      </c>
      <c r="C14" s="2315"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2012</v>
      </c>
      <c r="B15" s="2310" t="s">
        <v>2011</v>
      </c>
      <c r="C15" s="2315"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2014</v>
      </c>
      <c r="B16" s="97"/>
      <c r="C16" s="1008"/>
      <c r="D16" s="2317"/>
      <c r="E16" s="97"/>
      <c r="F16" s="97"/>
      <c r="G16" s="98">
        <f>ROUND(SUMPRODUCT(G6:G13,K6:K13)/SUMPRODUCT((G6:G13&gt;0)*(K6:K13)),3)</f>
        <v>0.86199999999999999</v>
      </c>
      <c r="H16" s="99">
        <f>ROUND(SUMPRODUCT(H6:H13,K6:K13)/SUMPRODUCT((H6:H13&gt;0)*(K6:K13)),3)</f>
        <v>0.05</v>
      </c>
      <c r="I16" s="100"/>
      <c r="J16" s="100"/>
      <c r="K16" s="101">
        <f>SUM(K6:K15)</f>
        <v>33991.919999999998</v>
      </c>
      <c r="L16" s="102">
        <f>ROUND(M16*10000/SUM(K6:K14),0)</f>
        <v>3300</v>
      </c>
      <c r="M16" s="102">
        <f>SUM(M6:M14)</f>
        <v>11218</v>
      </c>
      <c r="N16" s="103">
        <f>ROUND(SUMPRODUCT(M6:M14,N6:N14)/M16,3)</f>
        <v>0.88</v>
      </c>
      <c r="O16" s="102">
        <f>SUM(O6:O14)</f>
        <v>0</v>
      </c>
      <c r="P16" s="102">
        <f>SUM(P6:P14)</f>
        <v>0</v>
      </c>
      <c r="Q16" s="104">
        <f>ROUND(SUMPRODUCT(Q6:Q13,K6:K13)/SUMPRODUCT((Q6:Q13&gt;0)*(K6:K13)),2)</f>
        <v>0.2</v>
      </c>
      <c r="R16" s="1258">
        <f ca="1">SUM(R6:R13)</f>
        <v>3961.7599999999998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3001" t="s">
        <v>3220</v>
      </c>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3"/>
      <c r="C18" s="2280"/>
      <c r="D18" s="2281"/>
      <c r="E18" s="2280"/>
      <c r="F18" s="2280"/>
      <c r="G18" s="2280"/>
      <c r="H18" s="2280"/>
      <c r="I18" s="2280"/>
      <c r="J18" s="2280"/>
      <c r="K18" s="168"/>
      <c r="L18" s="168"/>
      <c r="M18" s="1584"/>
      <c r="N18" s="1584"/>
      <c r="O18" s="1584"/>
      <c r="P18" s="1584"/>
      <c r="Q18" s="1584"/>
      <c r="R18" s="1584"/>
      <c r="S18" s="3001" t="s">
        <v>3219</v>
      </c>
      <c r="T18" s="3001" t="s">
        <v>3266</v>
      </c>
      <c r="U18" s="3009" t="s">
        <v>3267</v>
      </c>
      <c r="V18" s="3002" t="s">
        <v>3231</v>
      </c>
      <c r="W18" s="3002" t="s">
        <v>3232</v>
      </c>
      <c r="X18" s="3002" t="s">
        <v>3233</v>
      </c>
      <c r="Y18" s="1584"/>
      <c r="Z18" s="1584"/>
      <c r="AA18" s="1584"/>
      <c r="AB18" s="1584"/>
      <c r="AC18" s="1584"/>
      <c r="AD18" s="1584"/>
      <c r="AE18" s="1584"/>
      <c r="AF18" s="1584"/>
      <c r="AG18" s="1584"/>
      <c r="AH18" s="1584"/>
      <c r="AI18" s="1584"/>
      <c r="AJ18" s="1584"/>
      <c r="AK18" s="1584"/>
      <c r="AL18" s="1584"/>
      <c r="AM18" s="1584"/>
    </row>
    <row r="19" spans="1:67" ht="14.25">
      <c r="A19" s="2319" t="s">
        <v>2016</v>
      </c>
      <c r="B19" s="112">
        <v>0</v>
      </c>
      <c r="C19" s="2280" t="s">
        <v>2017</v>
      </c>
      <c r="D19" s="2281"/>
      <c r="E19" s="2280"/>
      <c r="F19" s="2280"/>
      <c r="G19" s="2280"/>
      <c r="H19" s="2280"/>
      <c r="I19" s="2280"/>
      <c r="J19" s="2280"/>
      <c r="K19" s="168"/>
      <c r="L19" s="168"/>
      <c r="M19" s="1584"/>
      <c r="N19" s="1584"/>
      <c r="O19" s="1584"/>
      <c r="P19" s="1584"/>
      <c r="Q19" s="1584"/>
      <c r="R19" s="1584"/>
      <c r="S19" s="168" t="s">
        <v>3221</v>
      </c>
      <c r="T19" s="168"/>
      <c r="U19" s="2277">
        <f>Sheet1!C28</f>
        <v>980.95</v>
      </c>
      <c r="V19" s="1584">
        <f>ROUND(T19/$T$28,3)</f>
        <v>0</v>
      </c>
      <c r="W19" s="1584">
        <v>2</v>
      </c>
      <c r="X19" s="1584"/>
      <c r="Y19" s="1584"/>
      <c r="Z19" s="1584"/>
      <c r="AA19" s="1584"/>
      <c r="AB19" s="1584"/>
      <c r="AC19" s="1584"/>
      <c r="AD19" s="1584"/>
      <c r="AE19" s="1584"/>
      <c r="AF19" s="1584"/>
      <c r="AG19" s="1584"/>
      <c r="AH19" s="1584"/>
      <c r="AI19" s="1584"/>
      <c r="AJ19" s="1584"/>
      <c r="AK19" s="1584"/>
      <c r="AL19" s="1584"/>
      <c r="AM19" s="1584"/>
    </row>
    <row r="20" spans="1:67" ht="14.25">
      <c r="A20" s="2320" t="s">
        <v>2018</v>
      </c>
      <c r="B20" s="113">
        <v>2</v>
      </c>
      <c r="C20" s="2280" t="s">
        <v>2019</v>
      </c>
      <c r="D20" s="2281"/>
      <c r="E20" s="2280"/>
      <c r="F20" s="2280"/>
      <c r="G20" s="2280"/>
      <c r="H20" s="2280"/>
      <c r="I20" s="2280"/>
      <c r="J20" s="2280"/>
      <c r="K20" s="168"/>
      <c r="L20" s="168"/>
      <c r="M20" s="1584" t="s">
        <v>3241</v>
      </c>
      <c r="N20" s="1584" t="s">
        <v>3242</v>
      </c>
      <c r="O20" s="1584"/>
      <c r="P20" s="1584"/>
      <c r="Q20" s="1584"/>
      <c r="R20" s="1584"/>
      <c r="S20" s="168" t="s">
        <v>3222</v>
      </c>
      <c r="T20" s="168"/>
      <c r="U20" s="2277">
        <f>Sheet1!C29</f>
        <v>980.95</v>
      </c>
      <c r="V20" s="1584">
        <f>ROUND(T20/$T$28,3)</f>
        <v>0</v>
      </c>
      <c r="W20" s="1584">
        <v>2</v>
      </c>
      <c r="X20" s="1584"/>
      <c r="Y20" s="1584"/>
      <c r="Z20" s="1584"/>
      <c r="AA20" s="1584"/>
      <c r="AB20" s="1584"/>
      <c r="AC20" s="1584"/>
      <c r="AD20" s="1584"/>
      <c r="AE20" s="1584"/>
      <c r="AF20" s="1584"/>
      <c r="AG20" s="1584"/>
      <c r="AH20" s="1584"/>
      <c r="AI20" s="1584"/>
      <c r="AJ20" s="1584"/>
      <c r="AK20" s="1584"/>
      <c r="AL20" s="1584"/>
      <c r="AM20" s="1584"/>
    </row>
    <row r="21" spans="1:67" ht="14.25">
      <c r="A21" s="2321" t="s">
        <v>2020</v>
      </c>
      <c r="B21" s="113">
        <v>2</v>
      </c>
      <c r="C21" s="2280"/>
      <c r="D21" s="2281"/>
      <c r="E21" s="2280"/>
      <c r="F21" s="2280"/>
      <c r="G21" s="2280"/>
      <c r="H21" s="2280"/>
      <c r="I21" s="2280"/>
      <c r="J21" s="2280"/>
      <c r="K21" s="168"/>
      <c r="L21" s="3001" t="s">
        <v>3243</v>
      </c>
      <c r="M21" s="1584">
        <v>2013</v>
      </c>
      <c r="N21" s="1584">
        <v>2011</v>
      </c>
      <c r="O21" s="1584"/>
      <c r="P21" s="1584"/>
      <c r="Q21" s="1584"/>
      <c r="R21" s="1584"/>
      <c r="S21" s="168" t="s">
        <v>3223</v>
      </c>
      <c r="T21" s="168"/>
      <c r="U21" s="2277">
        <f>Sheet1!C30</f>
        <v>480.71</v>
      </c>
      <c r="V21" s="1584">
        <f>ROUND(T21/$T$28,3)</f>
        <v>0</v>
      </c>
      <c r="W21" s="1584">
        <v>2</v>
      </c>
      <c r="X21" s="1584"/>
      <c r="Y21" s="1584"/>
      <c r="Z21" s="1584"/>
      <c r="AA21" s="1584"/>
      <c r="AB21" s="1584"/>
      <c r="AC21" s="1584"/>
      <c r="AD21" s="1584"/>
      <c r="AE21" s="1584"/>
      <c r="AF21" s="1584"/>
      <c r="AG21" s="1584"/>
      <c r="AH21" s="1584"/>
      <c r="AI21" s="1584"/>
      <c r="AJ21" s="1584"/>
      <c r="AK21" s="1584"/>
      <c r="AL21" s="1584"/>
      <c r="AM21" s="1584"/>
    </row>
    <row r="22" spans="1:67" ht="14.25">
      <c r="A22" s="2320" t="s">
        <v>2021</v>
      </c>
      <c r="B22" s="114">
        <f>B19+B20</f>
        <v>2</v>
      </c>
      <c r="C22" s="2280"/>
      <c r="D22" s="2281"/>
      <c r="E22" s="2280"/>
      <c r="F22" s="2280"/>
      <c r="G22" s="2280"/>
      <c r="H22" s="2280"/>
      <c r="I22" s="2280"/>
      <c r="J22" s="2280"/>
      <c r="K22" s="168"/>
      <c r="L22" s="3001" t="s">
        <v>3244</v>
      </c>
      <c r="M22" s="1584">
        <f>Sheet1!D39</f>
        <v>7050.2699999999995</v>
      </c>
      <c r="N22" s="1584">
        <f>Sheet1!C39</f>
        <v>15042.609999999999</v>
      </c>
      <c r="O22" s="1584"/>
      <c r="P22" s="1584"/>
      <c r="Q22" s="1584"/>
      <c r="R22" s="1584"/>
      <c r="S22" s="168" t="s">
        <v>3224</v>
      </c>
      <c r="T22" s="168">
        <f>Sheet1!D31</f>
        <v>1410.05</v>
      </c>
      <c r="U22" s="2277">
        <f>Sheet1!C31</f>
        <v>480.71</v>
      </c>
      <c r="V22" s="1584">
        <f>ROUND(T22/$T$28,3)</f>
        <v>7.3999999999999996E-2</v>
      </c>
      <c r="W22" s="1584">
        <f>W25*X22</f>
        <v>1.5</v>
      </c>
      <c r="X22" s="1584">
        <v>0.6</v>
      </c>
      <c r="Y22" s="1584"/>
      <c r="Z22" s="1584"/>
      <c r="AA22" s="1584"/>
      <c r="AB22" s="1584"/>
      <c r="AC22" s="1584"/>
      <c r="AD22" s="1584"/>
      <c r="AE22" s="1584"/>
      <c r="AF22" s="1584"/>
      <c r="AG22" s="1584"/>
      <c r="AH22" s="1584"/>
      <c r="AI22" s="1584"/>
      <c r="AJ22" s="1584"/>
      <c r="AK22" s="1584"/>
      <c r="AL22" s="1584"/>
      <c r="AM22" s="1584"/>
    </row>
    <row r="23" spans="1:67" ht="14.25">
      <c r="A23" s="2321" t="s">
        <v>2022</v>
      </c>
      <c r="B23" s="114">
        <f>B19+B21</f>
        <v>2</v>
      </c>
      <c r="C23" s="2280"/>
      <c r="D23" s="2281"/>
      <c r="E23" s="2280"/>
      <c r="F23" s="2280"/>
      <c r="G23" s="2280"/>
      <c r="H23" s="2280"/>
      <c r="I23" s="2280"/>
      <c r="J23" s="2280"/>
      <c r="K23" s="168"/>
      <c r="L23" s="3001" t="s">
        <v>3245</v>
      </c>
      <c r="M23" s="1584">
        <f>ROUND(M22/(M22+N22),2)</f>
        <v>0.32</v>
      </c>
      <c r="N23" s="1584">
        <f>ROUND(N22/(N22+M22),2)</f>
        <v>0.68</v>
      </c>
      <c r="O23" s="1584"/>
      <c r="P23" s="1584"/>
      <c r="Q23" s="1584"/>
      <c r="R23" s="1584"/>
      <c r="S23" s="168" t="s">
        <v>3225</v>
      </c>
      <c r="T23" s="168">
        <f>Sheet1!D32</f>
        <v>1410.05</v>
      </c>
      <c r="U23" s="2277">
        <f>Sheet1!C32</f>
        <v>221.57</v>
      </c>
      <c r="V23" s="1584">
        <f>ROUND(T23/$T$28,3)</f>
        <v>7.3999999999999996E-2</v>
      </c>
      <c r="W23" s="1584">
        <f>W25*X23</f>
        <v>1.75</v>
      </c>
      <c r="X23" s="1584">
        <v>0.7</v>
      </c>
      <c r="Y23" s="1584"/>
      <c r="Z23" s="1584"/>
      <c r="AA23" s="1584"/>
      <c r="AB23" s="1584"/>
      <c r="AC23" s="1584"/>
      <c r="AD23" s="1584"/>
      <c r="AE23" s="1584"/>
      <c r="AF23" s="1584"/>
      <c r="AG23" s="1584"/>
      <c r="AH23" s="1584"/>
      <c r="AI23" s="1584"/>
      <c r="AJ23" s="1584"/>
      <c r="AK23" s="1584"/>
      <c r="AL23" s="1584"/>
      <c r="AM23" s="1584"/>
    </row>
    <row r="24" spans="1:67" ht="15" thickBot="1">
      <c r="A24" s="2322" t="s">
        <v>2023</v>
      </c>
      <c r="B24" s="115">
        <f>B20-B21</f>
        <v>0</v>
      </c>
      <c r="C24" s="2280"/>
      <c r="D24" s="2281"/>
      <c r="E24" s="2280"/>
      <c r="F24" s="2280"/>
      <c r="G24" s="2280"/>
      <c r="H24" s="2280"/>
      <c r="I24" s="2280"/>
      <c r="J24" s="2280"/>
      <c r="K24" s="168"/>
      <c r="L24" s="3001" t="s">
        <v>3246</v>
      </c>
      <c r="M24" s="1584">
        <f>ROUND(1-(2019-M21)/60,2)</f>
        <v>0.9</v>
      </c>
      <c r="N24" s="1584">
        <f>ROUND(1-(2019-N21)/60,2)</f>
        <v>0.87</v>
      </c>
      <c r="O24" s="1584">
        <f>ROUND(M24*M23+N24*N23,2)</f>
        <v>0.88</v>
      </c>
      <c r="P24" s="1584"/>
      <c r="Q24" s="1584"/>
      <c r="R24" s="1584"/>
      <c r="S24" s="168" t="s">
        <v>3226</v>
      </c>
      <c r="T24" s="168">
        <f>Sheet1!C33+Sheet1!D33</f>
        <v>5211.57</v>
      </c>
      <c r="U24" s="2277"/>
      <c r="V24" s="1584">
        <f>1-(V19+V20+V21+V22+V23+V25+V26+V27)</f>
        <v>0.27600000000000002</v>
      </c>
      <c r="W24" s="1584">
        <f>W25*X24</f>
        <v>2</v>
      </c>
      <c r="X24" s="1584">
        <v>0.8</v>
      </c>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68" t="s">
        <v>3227</v>
      </c>
      <c r="T25" s="168">
        <f>Sheet1!C34+Sheet1!D34</f>
        <v>4989.1099999999997</v>
      </c>
      <c r="U25" s="2277"/>
      <c r="V25" s="1584">
        <f>ROUND(T25/$T$28,3)</f>
        <v>0.26300000000000001</v>
      </c>
      <c r="W25" s="1584">
        <v>2.5</v>
      </c>
      <c r="X25" s="1584">
        <v>1</v>
      </c>
      <c r="Y25" s="1584"/>
      <c r="Z25" s="1584"/>
      <c r="AA25" s="1584"/>
      <c r="AB25" s="1584"/>
      <c r="AC25" s="1584"/>
      <c r="AD25" s="1584"/>
      <c r="AE25" s="1584"/>
      <c r="AF25" s="1584"/>
      <c r="AG25" s="1584"/>
      <c r="AH25" s="1584"/>
      <c r="AI25" s="1584"/>
      <c r="AJ25" s="1584"/>
      <c r="AK25" s="1584"/>
      <c r="AL25" s="1584"/>
      <c r="AM25" s="1584"/>
    </row>
    <row r="26" spans="1:67" ht="15" thickBot="1">
      <c r="A26" s="2279" t="s">
        <v>2024</v>
      </c>
      <c r="B26" s="2323" t="s">
        <v>2025</v>
      </c>
      <c r="C26" s="2324" t="s">
        <v>2026</v>
      </c>
      <c r="D26" s="2281"/>
      <c r="E26" s="2280"/>
      <c r="F26" s="2280"/>
      <c r="G26" s="2280"/>
      <c r="H26" s="2280"/>
      <c r="I26" s="2280"/>
      <c r="J26" s="2280"/>
      <c r="K26" s="168"/>
      <c r="L26" s="168"/>
      <c r="M26" s="1584"/>
      <c r="N26" s="1584"/>
      <c r="O26" s="1584"/>
      <c r="P26" s="1584"/>
      <c r="Q26" s="1584"/>
      <c r="R26" s="1584"/>
      <c r="S26" s="168" t="s">
        <v>3228</v>
      </c>
      <c r="T26" s="168">
        <f>Sheet1!C35+Sheet1!D35</f>
        <v>5927.2099999999991</v>
      </c>
      <c r="U26" s="2277"/>
      <c r="V26" s="1584">
        <f>ROUND(T26/$T$28,3)</f>
        <v>0.313</v>
      </c>
      <c r="W26" s="1584">
        <f>W25*X26</f>
        <v>2</v>
      </c>
      <c r="X26" s="1584">
        <v>0.8</v>
      </c>
      <c r="Y26" s="1584"/>
      <c r="Z26" s="1584"/>
      <c r="AA26" s="1584"/>
      <c r="AB26" s="1584"/>
      <c r="AC26" s="1584"/>
      <c r="AD26" s="1584"/>
      <c r="AE26" s="1584"/>
      <c r="AF26" s="1584"/>
      <c r="AG26" s="1584"/>
      <c r="AH26" s="1584"/>
      <c r="AI26" s="1584"/>
      <c r="AJ26" s="1584"/>
      <c r="AK26" s="1584"/>
      <c r="AL26" s="1584"/>
      <c r="AM26" s="1584"/>
    </row>
    <row r="27" spans="1:67" s="2327" customFormat="1" ht="27.75">
      <c r="A27" s="2325" t="s">
        <v>2027</v>
      </c>
      <c r="B27" s="116">
        <v>50</v>
      </c>
      <c r="C27" s="1767" t="s">
        <v>2028</v>
      </c>
      <c r="D27" s="2326"/>
      <c r="E27" s="1430"/>
      <c r="F27" s="1430"/>
      <c r="G27" s="2280"/>
      <c r="H27" s="2280"/>
      <c r="I27" s="2280"/>
      <c r="J27" s="2280"/>
      <c r="K27" s="168"/>
      <c r="L27" s="168"/>
      <c r="M27" s="1584"/>
      <c r="N27" s="1584"/>
      <c r="O27" s="1584"/>
      <c r="P27" s="1584"/>
      <c r="Q27" s="1584"/>
      <c r="R27" s="1584"/>
      <c r="S27" s="168" t="s">
        <v>3229</v>
      </c>
      <c r="T27" s="168"/>
      <c r="U27" s="968"/>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90</v>
      </c>
      <c r="C28" s="2329"/>
      <c r="D28" s="2326"/>
      <c r="E28" s="1430"/>
      <c r="F28" s="1430"/>
      <c r="G28" s="2280"/>
      <c r="H28" s="2280"/>
      <c r="I28" s="2280"/>
      <c r="J28" s="2280"/>
      <c r="K28" s="168"/>
      <c r="L28" s="168"/>
      <c r="M28" s="1584"/>
      <c r="N28" s="1584"/>
      <c r="O28" s="1584"/>
      <c r="P28" s="1584"/>
      <c r="Q28" s="1584"/>
      <c r="R28" s="1584"/>
      <c r="S28" s="3002" t="s">
        <v>3230</v>
      </c>
      <c r="T28" s="1584">
        <f>SUM(T22:T26)</f>
        <v>18947.989999999998</v>
      </c>
      <c r="U28" s="968"/>
      <c r="V28" s="1584"/>
      <c r="W28" s="1584">
        <f>ROUND(W22*V22+W23*V23+W24*V24+W25*V25+W26*V26,2)</f>
        <v>2.08</v>
      </c>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c r="C29" s="1767" t="s">
        <v>2031</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0.03</v>
      </c>
      <c r="C33" s="1766" t="s">
        <v>2036</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0.05</v>
      </c>
      <c r="C34" s="1766" t="s">
        <v>2038</v>
      </c>
      <c r="D34" s="2281" t="s">
        <v>2039</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150</v>
      </c>
      <c r="C35" s="1766" t="s">
        <v>2041</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6" t="s">
        <v>2043</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2044</v>
      </c>
      <c r="B37" s="124">
        <v>0.02</v>
      </c>
      <c r="C37" s="1766" t="s">
        <v>2045</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2046</v>
      </c>
      <c r="B38" s="122">
        <v>0.02</v>
      </c>
      <c r="C38" s="1766" t="s">
        <v>2045</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2047</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2048</v>
      </c>
      <c r="B40" s="1303">
        <f ca="1">存贷款利率!G1</f>
        <v>4.7500000000000001E-2</v>
      </c>
      <c r="C40" s="1766" t="s">
        <v>2049</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2050</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2051</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2052</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2053</v>
      </c>
      <c r="B44" s="128">
        <v>7.0000000000000007E-2</v>
      </c>
      <c r="C44" s="1766" t="s">
        <v>2054</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2055</v>
      </c>
      <c r="B45" s="126">
        <v>0.03</v>
      </c>
      <c r="C45" s="1767" t="s">
        <v>2056</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2057</v>
      </c>
      <c r="B46" s="126">
        <v>0.02</v>
      </c>
      <c r="C46" s="1767" t="s">
        <v>2058</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2059</v>
      </c>
      <c r="B47" s="129"/>
      <c r="C47" s="1767" t="s">
        <v>2060</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2061</v>
      </c>
      <c r="B48" s="130">
        <v>0.03</v>
      </c>
      <c r="C48" s="1774" t="s">
        <v>2062</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2063</v>
      </c>
      <c r="B49" s="126">
        <v>5.1999999999999995E-4</v>
      </c>
      <c r="C49" s="1774" t="s">
        <v>2064</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2065</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2066</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2067</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2068</v>
      </c>
      <c r="B53" s="2339" t="s">
        <v>442</v>
      </c>
      <c r="C53" s="1430" t="s">
        <v>2069</v>
      </c>
      <c r="D53" s="2340" t="s">
        <v>2070</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2071</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2072</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2073</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2074</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2075</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2076</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2077</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2078</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2079</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2080</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E22" workbookViewId="0">
      <selection activeCell="M17" sqref="M17"/>
    </sheetView>
  </sheetViews>
  <sheetFormatPr defaultRowHeight="13.5"/>
  <cols>
    <col min="1" max="1" width="13.5" customWidth="1"/>
    <col min="2" max="2" width="11.25" customWidth="1"/>
    <col min="3" max="3" width="17.25" customWidth="1"/>
    <col min="4" max="4" width="14.75" customWidth="1"/>
    <col min="5" max="5" width="11.125" customWidth="1"/>
    <col min="6" max="6" width="14.875" customWidth="1"/>
    <col min="7" max="7" width="12.125" customWidth="1"/>
    <col min="8" max="8" width="15.75" customWidth="1"/>
    <col min="9" max="9" width="12.625" customWidth="1"/>
    <col min="10" max="10" width="12.375" customWidth="1"/>
    <col min="11" max="11" width="11.5" bestFit="1" customWidth="1"/>
    <col min="13" max="13" width="11.625" customWidth="1"/>
  </cols>
  <sheetData>
    <row r="1" spans="1:14">
      <c r="A1" s="3127" t="s">
        <v>3054</v>
      </c>
      <c r="B1" s="3127"/>
      <c r="C1" s="3127"/>
      <c r="D1" s="3127"/>
      <c r="E1" s="3128"/>
      <c r="F1" s="3128"/>
      <c r="G1" s="3128"/>
      <c r="H1" s="3128"/>
      <c r="I1" s="3128"/>
      <c r="J1" s="3128"/>
      <c r="K1" s="2967"/>
      <c r="L1" s="2967"/>
    </row>
    <row r="2" spans="1:14">
      <c r="A2" s="3129" t="s">
        <v>3055</v>
      </c>
      <c r="B2" s="3129" t="s">
        <v>3056</v>
      </c>
      <c r="C2" s="3129" t="s">
        <v>3057</v>
      </c>
      <c r="D2" s="3130" t="s">
        <v>3058</v>
      </c>
      <c r="E2" s="3131" t="s">
        <v>3059</v>
      </c>
      <c r="F2" s="3131"/>
      <c r="G2" s="3131"/>
      <c r="H2" s="3131"/>
      <c r="I2" s="3131"/>
      <c r="J2" s="3131"/>
      <c r="K2" s="3131"/>
      <c r="L2" s="2968"/>
    </row>
    <row r="3" spans="1:14">
      <c r="A3" s="3129"/>
      <c r="B3" s="3129"/>
      <c r="C3" s="3129"/>
      <c r="D3" s="3130"/>
      <c r="E3" s="3129" t="s">
        <v>3060</v>
      </c>
      <c r="F3" s="3129" t="s">
        <v>3061</v>
      </c>
      <c r="G3" s="3131" t="s">
        <v>3062</v>
      </c>
      <c r="H3" s="3131" t="s">
        <v>3063</v>
      </c>
      <c r="I3" s="3131" t="s">
        <v>3056</v>
      </c>
      <c r="J3" s="3131" t="s">
        <v>3064</v>
      </c>
      <c r="K3" s="3131" t="s">
        <v>3065</v>
      </c>
      <c r="L3" s="3131" t="s">
        <v>3066</v>
      </c>
    </row>
    <row r="4" spans="1:14">
      <c r="A4" s="3129"/>
      <c r="B4" s="3129"/>
      <c r="C4" s="3129"/>
      <c r="D4" s="3130"/>
      <c r="E4" s="3129"/>
      <c r="F4" s="3129"/>
      <c r="G4" s="3132"/>
      <c r="H4" s="3131"/>
      <c r="I4" s="3131"/>
      <c r="J4" s="3131"/>
      <c r="K4" s="3131"/>
      <c r="L4" s="3131"/>
      <c r="M4" s="3022" t="s">
        <v>3320</v>
      </c>
    </row>
    <row r="5" spans="1:14" ht="24">
      <c r="A5" s="3133" t="s">
        <v>3067</v>
      </c>
      <c r="B5" s="3133">
        <v>16059.78</v>
      </c>
      <c r="C5" s="3133" t="s">
        <v>3068</v>
      </c>
      <c r="D5" s="2969" t="s">
        <v>3069</v>
      </c>
      <c r="E5" s="2970" t="s">
        <v>3070</v>
      </c>
      <c r="F5" s="2971">
        <v>42248</v>
      </c>
      <c r="G5" s="2971">
        <v>44074</v>
      </c>
      <c r="H5" s="2970" t="s">
        <v>3071</v>
      </c>
      <c r="I5" s="2970">
        <v>109</v>
      </c>
      <c r="J5" s="2970" t="s">
        <v>3072</v>
      </c>
      <c r="K5" s="2972">
        <v>97061</v>
      </c>
      <c r="L5" s="3131" t="s">
        <v>3073</v>
      </c>
      <c r="M5" s="3031">
        <f>ROUND(N5/30,2)</f>
        <v>3.27</v>
      </c>
      <c r="N5">
        <v>98</v>
      </c>
    </row>
    <row r="6" spans="1:14">
      <c r="A6" s="3134"/>
      <c r="B6" s="3134"/>
      <c r="C6" s="3134"/>
      <c r="D6" s="2970" t="s">
        <v>3074</v>
      </c>
      <c r="E6" s="2970" t="s">
        <v>3075</v>
      </c>
      <c r="F6" s="2971">
        <v>42201</v>
      </c>
      <c r="G6" s="2971">
        <v>44027</v>
      </c>
      <c r="H6" s="2970" t="s">
        <v>3076</v>
      </c>
      <c r="I6" s="2970">
        <f>6562.5/15</f>
        <v>437.5</v>
      </c>
      <c r="J6" s="2970" t="s">
        <v>3077</v>
      </c>
      <c r="K6" s="2972">
        <v>202584</v>
      </c>
      <c r="L6" s="3131"/>
      <c r="M6" s="3031">
        <f t="shared" ref="M6:M14" si="0">ROUND(N6/30,2)</f>
        <v>1.3</v>
      </c>
      <c r="N6">
        <v>39</v>
      </c>
    </row>
    <row r="7" spans="1:14" ht="36">
      <c r="A7" s="3134"/>
      <c r="B7" s="3134"/>
      <c r="C7" s="3134"/>
      <c r="D7" s="2970" t="s">
        <v>3078</v>
      </c>
      <c r="E7" s="2970" t="s">
        <v>3079</v>
      </c>
      <c r="F7" s="2973">
        <v>43322</v>
      </c>
      <c r="G7" s="2973">
        <v>45147</v>
      </c>
      <c r="H7" s="2970" t="s">
        <v>3080</v>
      </c>
      <c r="I7" s="2970">
        <v>594.09</v>
      </c>
      <c r="J7" s="2972" t="s">
        <v>3081</v>
      </c>
      <c r="K7" s="2972">
        <v>356454</v>
      </c>
      <c r="L7" s="3131" t="s">
        <v>3082</v>
      </c>
      <c r="M7" s="3013">
        <f t="shared" si="0"/>
        <v>1.67</v>
      </c>
      <c r="N7">
        <v>50</v>
      </c>
    </row>
    <row r="8" spans="1:14" ht="36">
      <c r="A8" s="3134"/>
      <c r="B8" s="3134"/>
      <c r="C8" s="3134"/>
      <c r="D8" s="2970" t="s">
        <v>3083</v>
      </c>
      <c r="E8" s="2970" t="s">
        <v>3084</v>
      </c>
      <c r="F8" s="2973">
        <v>43327</v>
      </c>
      <c r="G8" s="2973">
        <v>45152</v>
      </c>
      <c r="H8" s="2970" t="s">
        <v>3085</v>
      </c>
      <c r="I8" s="2970">
        <v>717.31</v>
      </c>
      <c r="J8" s="2972" t="s">
        <v>3081</v>
      </c>
      <c r="K8" s="2972">
        <v>430386</v>
      </c>
      <c r="L8" s="3131"/>
      <c r="M8" s="3013">
        <f t="shared" si="0"/>
        <v>1.67</v>
      </c>
      <c r="N8">
        <v>50</v>
      </c>
    </row>
    <row r="9" spans="1:14" ht="36">
      <c r="A9" s="3134"/>
      <c r="B9" s="3134"/>
      <c r="C9" s="3134"/>
      <c r="D9" s="2970" t="s">
        <v>3086</v>
      </c>
      <c r="E9" s="2970" t="s">
        <v>3087</v>
      </c>
      <c r="F9" s="2973">
        <v>43330</v>
      </c>
      <c r="G9" s="2973">
        <v>45155</v>
      </c>
      <c r="H9" s="2970" t="s">
        <v>3088</v>
      </c>
      <c r="I9" s="2970">
        <v>314.52999999999997</v>
      </c>
      <c r="J9" s="2970" t="s">
        <v>3089</v>
      </c>
      <c r="K9" s="2972">
        <v>226461</v>
      </c>
      <c r="L9" s="3131"/>
      <c r="M9" s="3031">
        <f t="shared" si="0"/>
        <v>2</v>
      </c>
      <c r="N9">
        <v>60</v>
      </c>
    </row>
    <row r="10" spans="1:14" ht="24">
      <c r="A10" s="3134"/>
      <c r="B10" s="3134"/>
      <c r="C10" s="3134"/>
      <c r="D10" s="2970" t="s">
        <v>3090</v>
      </c>
      <c r="E10" s="2970" t="s">
        <v>3091</v>
      </c>
      <c r="F10" s="2973">
        <v>43327</v>
      </c>
      <c r="G10" s="2973">
        <v>45152</v>
      </c>
      <c r="H10" s="2970" t="s">
        <v>3092</v>
      </c>
      <c r="I10" s="2970">
        <v>405.47</v>
      </c>
      <c r="J10" s="2970" t="s">
        <v>3089</v>
      </c>
      <c r="K10" s="2972">
        <v>291938</v>
      </c>
      <c r="L10" s="3131"/>
      <c r="M10" s="3031">
        <f t="shared" si="0"/>
        <v>2</v>
      </c>
      <c r="N10">
        <v>60</v>
      </c>
    </row>
    <row r="11" spans="1:14">
      <c r="A11" s="3134"/>
      <c r="B11" s="3134"/>
      <c r="C11" s="3134"/>
      <c r="D11" s="2974" t="s">
        <v>3093</v>
      </c>
      <c r="E11" s="2970" t="s">
        <v>3094</v>
      </c>
      <c r="F11" s="2973">
        <v>43459</v>
      </c>
      <c r="G11" s="2973">
        <v>45284</v>
      </c>
      <c r="H11" s="2970" t="s">
        <v>3095</v>
      </c>
      <c r="I11" s="2974">
        <v>212.38</v>
      </c>
      <c r="J11" s="2970" t="s">
        <v>3096</v>
      </c>
      <c r="K11" s="2972">
        <v>178400</v>
      </c>
      <c r="L11" s="3131"/>
      <c r="M11" s="3016">
        <f t="shared" si="0"/>
        <v>2.33</v>
      </c>
      <c r="N11">
        <v>70</v>
      </c>
    </row>
    <row r="12" spans="1:14">
      <c r="A12" s="3134"/>
      <c r="B12" s="3134"/>
      <c r="C12" s="3134"/>
      <c r="D12" s="2974" t="s">
        <v>3097</v>
      </c>
      <c r="E12" s="2970" t="s">
        <v>3098</v>
      </c>
      <c r="F12" s="2973">
        <v>43468</v>
      </c>
      <c r="G12" s="2973">
        <v>45295</v>
      </c>
      <c r="H12" s="2970" t="s">
        <v>3099</v>
      </c>
      <c r="I12" s="2974">
        <v>232.6</v>
      </c>
      <c r="J12" s="2970" t="s">
        <v>3100</v>
      </c>
      <c r="K12" s="2972">
        <v>133978</v>
      </c>
      <c r="L12" s="3131"/>
      <c r="M12" s="3031">
        <f t="shared" si="0"/>
        <v>1.6</v>
      </c>
      <c r="N12">
        <v>48</v>
      </c>
    </row>
    <row r="13" spans="1:14" ht="24">
      <c r="A13" s="3134"/>
      <c r="B13" s="3134"/>
      <c r="C13" s="3134"/>
      <c r="D13" s="2974" t="s">
        <v>3101</v>
      </c>
      <c r="E13" s="2970" t="s">
        <v>3102</v>
      </c>
      <c r="F13" s="2973">
        <v>43466</v>
      </c>
      <c r="G13" s="2973">
        <v>45291</v>
      </c>
      <c r="H13" s="2970" t="s">
        <v>3103</v>
      </c>
      <c r="I13" s="2975">
        <v>282.99</v>
      </c>
      <c r="J13" s="2970" t="s">
        <v>3089</v>
      </c>
      <c r="K13" s="2970">
        <v>152820</v>
      </c>
      <c r="L13" s="3131"/>
      <c r="M13" s="3031">
        <f t="shared" si="0"/>
        <v>2</v>
      </c>
      <c r="N13">
        <v>60</v>
      </c>
    </row>
    <row r="14" spans="1:14" ht="24">
      <c r="A14" s="3134"/>
      <c r="B14" s="3134"/>
      <c r="C14" s="3134"/>
      <c r="D14" s="2970" t="s">
        <v>3104</v>
      </c>
      <c r="E14" s="2970" t="s">
        <v>3105</v>
      </c>
      <c r="F14" s="2973">
        <v>40634</v>
      </c>
      <c r="G14" s="2973">
        <v>44286</v>
      </c>
      <c r="H14" s="2970" t="s">
        <v>3106</v>
      </c>
      <c r="I14" s="2970">
        <v>4541.0600000000004</v>
      </c>
      <c r="J14" s="2974" t="s">
        <v>3107</v>
      </c>
      <c r="K14" s="2972">
        <v>1338036</v>
      </c>
      <c r="L14" s="2976" t="s">
        <v>3108</v>
      </c>
      <c r="M14" s="3016">
        <f t="shared" si="0"/>
        <v>0.83</v>
      </c>
      <c r="N14">
        <v>25</v>
      </c>
    </row>
    <row r="15" spans="1:14" ht="24">
      <c r="A15" s="3134"/>
      <c r="B15" s="3134"/>
      <c r="C15" s="3134"/>
      <c r="D15" s="3132"/>
      <c r="E15" s="3132"/>
      <c r="F15" s="3132"/>
      <c r="G15" s="3132"/>
      <c r="H15" s="2977" t="s">
        <v>3109</v>
      </c>
      <c r="I15" s="2978">
        <f>SUM(I5:I14)</f>
        <v>7846.9300000000012</v>
      </c>
      <c r="J15" s="2977" t="s">
        <v>3110</v>
      </c>
      <c r="K15" s="2978">
        <f>SUM(K5:K14)</f>
        <v>3408118</v>
      </c>
      <c r="L15" s="2968"/>
    </row>
    <row r="16" spans="1:14">
      <c r="A16" s="3134"/>
      <c r="B16" s="3134"/>
      <c r="C16" s="3134"/>
      <c r="D16" s="2974" t="s">
        <v>3111</v>
      </c>
      <c r="E16" s="3142" t="s">
        <v>3112</v>
      </c>
      <c r="F16" s="3143"/>
      <c r="G16" s="3143"/>
      <c r="H16" s="3144"/>
      <c r="I16" s="2979">
        <v>231.27</v>
      </c>
      <c r="J16" s="3145" t="s">
        <v>3113</v>
      </c>
      <c r="K16" s="3146"/>
      <c r="L16" s="3147"/>
    </row>
    <row r="17" spans="1:12" ht="60">
      <c r="A17" s="3134"/>
      <c r="B17" s="3134"/>
      <c r="C17" s="3134"/>
      <c r="D17" s="2974" t="s">
        <v>3114</v>
      </c>
      <c r="E17" s="3142" t="s">
        <v>3112</v>
      </c>
      <c r="F17" s="3143"/>
      <c r="G17" s="3143"/>
      <c r="H17" s="3144"/>
      <c r="I17" s="2979">
        <v>638.13</v>
      </c>
      <c r="J17" s="3145" t="s">
        <v>3113</v>
      </c>
      <c r="K17" s="3146"/>
      <c r="L17" s="3147"/>
    </row>
    <row r="18" spans="1:12">
      <c r="A18" s="3134"/>
      <c r="B18" s="3134"/>
      <c r="C18" s="3134"/>
      <c r="D18" s="2974" t="s">
        <v>3115</v>
      </c>
      <c r="E18" s="3136" t="s">
        <v>3112</v>
      </c>
      <c r="F18" s="3137"/>
      <c r="G18" s="3137"/>
      <c r="H18" s="3138"/>
      <c r="I18" s="2977">
        <v>7027.48</v>
      </c>
      <c r="J18" s="3145" t="s">
        <v>3113</v>
      </c>
      <c r="K18" s="3146"/>
      <c r="L18" s="3147"/>
    </row>
    <row r="19" spans="1:12" ht="24">
      <c r="A19" s="3135"/>
      <c r="B19" s="3135"/>
      <c r="C19" s="3135"/>
      <c r="D19" s="2974" t="s">
        <v>3116</v>
      </c>
      <c r="E19" s="3136" t="s">
        <v>3112</v>
      </c>
      <c r="F19" s="3137"/>
      <c r="G19" s="3137"/>
      <c r="H19" s="3138"/>
      <c r="I19" s="2977">
        <v>315.97000000000003</v>
      </c>
      <c r="J19" s="3139" t="s">
        <v>3117</v>
      </c>
      <c r="K19" s="3140"/>
      <c r="L19" s="3141"/>
    </row>
    <row r="20" spans="1:12" ht="24">
      <c r="A20" s="2967"/>
      <c r="B20" s="2967"/>
      <c r="C20" s="2967"/>
      <c r="D20" s="2967"/>
      <c r="E20" s="2967"/>
      <c r="F20" s="2967"/>
      <c r="G20" s="2967"/>
      <c r="H20" s="2979" t="s">
        <v>3118</v>
      </c>
      <c r="I20" s="2978">
        <f>SUM(I16:I19)</f>
        <v>8212.8499999999985</v>
      </c>
      <c r="J20" s="2967"/>
      <c r="K20" s="2967">
        <f>I20+I15</f>
        <v>16059.779999999999</v>
      </c>
      <c r="L20" s="2967"/>
    </row>
    <row r="24" spans="1:12" ht="22.5">
      <c r="A24" s="3125" t="s">
        <v>3119</v>
      </c>
      <c r="B24" s="3125"/>
      <c r="C24" s="3125"/>
    </row>
    <row r="25" spans="1:12">
      <c r="A25" s="2980" t="s">
        <v>3120</v>
      </c>
      <c r="B25" s="2980" t="s">
        <v>3121</v>
      </c>
      <c r="C25" s="2980" t="s">
        <v>3122</v>
      </c>
      <c r="D25" s="3025" t="s">
        <v>3308</v>
      </c>
      <c r="E25" s="3025" t="s">
        <v>3309</v>
      </c>
      <c r="F25">
        <v>7050.27</v>
      </c>
      <c r="I25">
        <v>7</v>
      </c>
    </row>
    <row r="26" spans="1:12">
      <c r="A26" s="2981" t="s">
        <v>3123</v>
      </c>
      <c r="B26" s="2981">
        <v>500.24</v>
      </c>
      <c r="C26" s="2981">
        <v>0</v>
      </c>
      <c r="F26">
        <v>18902.09</v>
      </c>
    </row>
    <row r="27" spans="1:12">
      <c r="A27" s="2981" t="s">
        <v>3124</v>
      </c>
      <c r="B27" s="2981">
        <f>500.24+490.4</f>
        <v>990.64</v>
      </c>
      <c r="C27" s="2981">
        <v>0</v>
      </c>
      <c r="F27">
        <v>11827.6</v>
      </c>
      <c r="H27" s="3022" t="s">
        <v>3299</v>
      </c>
      <c r="I27">
        <v>2.62</v>
      </c>
    </row>
    <row r="28" spans="1:12">
      <c r="A28" s="2981" t="s">
        <v>3125</v>
      </c>
      <c r="B28" s="2981">
        <v>490.4</v>
      </c>
      <c r="C28" s="3010">
        <f>480.71+500.24</f>
        <v>980.95</v>
      </c>
      <c r="H28" s="3022" t="s">
        <v>3300</v>
      </c>
      <c r="I28">
        <v>1.3</v>
      </c>
    </row>
    <row r="29" spans="1:12">
      <c r="A29" s="2981" t="s">
        <v>3126</v>
      </c>
      <c r="B29" s="2981">
        <v>490.4</v>
      </c>
      <c r="C29" s="3010">
        <v>980.95</v>
      </c>
    </row>
    <row r="30" spans="1:12">
      <c r="A30" s="2981" t="s">
        <v>3127</v>
      </c>
      <c r="B30" s="2981">
        <v>990.64</v>
      </c>
      <c r="C30" s="3010">
        <v>480.71</v>
      </c>
    </row>
    <row r="31" spans="1:12">
      <c r="A31" s="2981" t="s">
        <v>3128</v>
      </c>
      <c r="B31" s="2981">
        <v>990.64</v>
      </c>
      <c r="C31" s="3010">
        <v>480.71</v>
      </c>
      <c r="D31" s="3013">
        <f>ROUND($F$25/5,2)</f>
        <v>1410.05</v>
      </c>
      <c r="F31" s="3011" t="s">
        <v>3268</v>
      </c>
      <c r="H31">
        <f>E37*10000</f>
        <v>0</v>
      </c>
      <c r="I31">
        <v>40000</v>
      </c>
    </row>
    <row r="32" spans="1:12">
      <c r="A32" s="2981" t="s">
        <v>3129</v>
      </c>
      <c r="B32" s="2981">
        <f>353.02+346.08+152.89</f>
        <v>851.9899999999999</v>
      </c>
      <c r="C32" s="3010">
        <v>221.57</v>
      </c>
      <c r="D32" s="3013">
        <f t="shared" ref="D32:D34" si="1">ROUND($F$25/5,2)</f>
        <v>1410.05</v>
      </c>
      <c r="E32">
        <v>2907.57</v>
      </c>
      <c r="F32" s="3014" t="s">
        <v>3269</v>
      </c>
      <c r="H32">
        <f>H31/(E34+0.8*(E35+E33)+0.7*E32+0.6*E31)</f>
        <v>0</v>
      </c>
      <c r="I32">
        <f>I31/'数据-汇总表'!E31</f>
        <v>1.1767502394686737</v>
      </c>
    </row>
    <row r="33" spans="1:10">
      <c r="A33" s="2981" t="s">
        <v>3130</v>
      </c>
      <c r="B33" s="2981">
        <v>0</v>
      </c>
      <c r="C33" s="3012">
        <f>1014.09+768.26+2019.17</f>
        <v>3801.52</v>
      </c>
      <c r="D33" s="3013">
        <f t="shared" si="1"/>
        <v>1410.05</v>
      </c>
      <c r="E33">
        <v>2527.3200000000002</v>
      </c>
      <c r="F33" s="3017" t="s">
        <v>3270</v>
      </c>
    </row>
    <row r="34" spans="1:10">
      <c r="A34" s="2981" t="s">
        <v>3131</v>
      </c>
      <c r="B34" s="2981">
        <v>0</v>
      </c>
      <c r="C34" s="3012">
        <f>1073.72+842.9+1662.44</f>
        <v>3579.06</v>
      </c>
      <c r="D34" s="3013">
        <f t="shared" si="1"/>
        <v>1410.05</v>
      </c>
      <c r="E34">
        <v>2873.1</v>
      </c>
    </row>
    <row r="35" spans="1:10">
      <c r="A35" s="2981" t="s">
        <v>3132</v>
      </c>
      <c r="B35" s="2981">
        <v>0</v>
      </c>
      <c r="C35" s="3012">
        <f>1147.9+880.56+2488.68</f>
        <v>4517.1399999999994</v>
      </c>
      <c r="D35" s="3013">
        <f>F25-D31-D32-D33-D34</f>
        <v>1410.07</v>
      </c>
      <c r="E35">
        <v>3591.05</v>
      </c>
    </row>
    <row r="36" spans="1:10">
      <c r="A36" s="2981" t="s">
        <v>3133</v>
      </c>
      <c r="B36" s="2981">
        <v>9233.24</v>
      </c>
      <c r="C36" s="3015">
        <v>0</v>
      </c>
      <c r="D36" s="3016"/>
      <c r="H36">
        <f>SUM(E32:E35)*17000</f>
        <v>202283680</v>
      </c>
    </row>
    <row r="37" spans="1:10">
      <c r="A37" s="2982" t="s">
        <v>3134</v>
      </c>
      <c r="B37" s="3126" t="s">
        <v>3135</v>
      </c>
      <c r="C37" s="3126"/>
    </row>
    <row r="39" spans="1:10">
      <c r="C39">
        <f>SUM(C28:C35)</f>
        <v>15042.609999999999</v>
      </c>
      <c r="D39">
        <f>SUM(D31:D36)</f>
        <v>7050.2699999999995</v>
      </c>
    </row>
    <row r="44" spans="1:10">
      <c r="C44" t="str">
        <f>结果表!B116</f>
        <v>(规划)建筑面积</v>
      </c>
      <c r="D44" t="str">
        <f>结果表!C116</f>
        <v>(分摊)土地面积</v>
      </c>
      <c r="E44" s="3124" t="str">
        <f>结果表!D116</f>
        <v>出让国有建设用地使用权价值</v>
      </c>
      <c r="F44" s="3124"/>
      <c r="G44" s="3124" t="str">
        <f>结果表!F116</f>
        <v>在建建筑物价值</v>
      </c>
      <c r="H44" s="3124"/>
      <c r="I44" s="3124" t="str">
        <f>结果表!H116</f>
        <v>房地产价值</v>
      </c>
      <c r="J44" s="3124"/>
    </row>
    <row r="45" spans="1:10">
      <c r="C45">
        <f>系统读取表!B1</f>
        <v>33991.919999999998</v>
      </c>
      <c r="D45">
        <f>系统读取表!B2</f>
        <v>3961.7599999999998</v>
      </c>
      <c r="E45" t="str">
        <f>结果表!D117</f>
        <v>总 价</v>
      </c>
      <c r="F45" t="str">
        <f>结果表!E117</f>
        <v>楼面单价</v>
      </c>
      <c r="G45" t="str">
        <f>结果表!F117</f>
        <v>总 价</v>
      </c>
      <c r="H45" t="str">
        <f>结果表!G117</f>
        <v>楼面单价</v>
      </c>
      <c r="I45" t="str">
        <f>结果表!H117</f>
        <v>总 价</v>
      </c>
      <c r="J45" t="str">
        <f>结果表!I117</f>
        <v>楼面单价</v>
      </c>
    </row>
    <row r="46" spans="1:10">
      <c r="E46">
        <f ca="1">I46-G46</f>
        <v>26323</v>
      </c>
      <c r="F46">
        <f ca="1">J46-H46</f>
        <v>7744</v>
      </c>
      <c r="G46">
        <f ca="1">ROUND(I46*C51,0)</f>
        <v>29683</v>
      </c>
      <c r="H46">
        <f ca="1">ROUND(G46/C45*10000,0)</f>
        <v>8732</v>
      </c>
      <c r="I46">
        <f ca="1">系统读取表!B5</f>
        <v>56006</v>
      </c>
      <c r="J46">
        <f ca="1">系统读取表!C5</f>
        <v>16476</v>
      </c>
    </row>
    <row r="49" spans="3:3">
      <c r="C49">
        <f ca="1">收益法!C13+'收益法-办公'!C13</f>
        <v>14862</v>
      </c>
    </row>
    <row r="50" spans="3:3">
      <c r="C50">
        <f ca="1">收益法!C40+'收益法-办公'!C40</f>
        <v>27936</v>
      </c>
    </row>
    <row r="51" spans="3:3">
      <c r="C51">
        <f ca="1">ROUND(C49/C50,2)</f>
        <v>0.53</v>
      </c>
    </row>
  </sheetData>
  <mergeCells count="33">
    <mergeCell ref="L3:L4"/>
    <mergeCell ref="A5:A19"/>
    <mergeCell ref="B5:B19"/>
    <mergeCell ref="C5:C19"/>
    <mergeCell ref="L5:L6"/>
    <mergeCell ref="L7:L13"/>
    <mergeCell ref="D15:G15"/>
    <mergeCell ref="E19:H19"/>
    <mergeCell ref="J19:L19"/>
    <mergeCell ref="E16:H16"/>
    <mergeCell ref="J16:L16"/>
    <mergeCell ref="E17:H17"/>
    <mergeCell ref="J17:L17"/>
    <mergeCell ref="E18:H18"/>
    <mergeCell ref="J18:L18"/>
    <mergeCell ref="A1:J1"/>
    <mergeCell ref="A2:A4"/>
    <mergeCell ref="B2:B4"/>
    <mergeCell ref="C2:C4"/>
    <mergeCell ref="D2:D4"/>
    <mergeCell ref="E2:K2"/>
    <mergeCell ref="E3:E4"/>
    <mergeCell ref="F3:F4"/>
    <mergeCell ref="G3:G4"/>
    <mergeCell ref="H3:H4"/>
    <mergeCell ref="I3:I4"/>
    <mergeCell ref="J3:J4"/>
    <mergeCell ref="K3:K4"/>
    <mergeCell ref="G44:H44"/>
    <mergeCell ref="E44:F44"/>
    <mergeCell ref="I44:J44"/>
    <mergeCell ref="A24:C24"/>
    <mergeCell ref="B37:C37"/>
  </mergeCells>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J27" sqref="J27"/>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148" t="s">
        <v>2081</v>
      </c>
      <c r="B1" s="3149"/>
      <c r="C1" s="3149"/>
      <c r="D1" s="3149"/>
      <c r="E1" s="3149"/>
      <c r="F1" s="3149"/>
      <c r="G1" s="314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54">
      <c r="A3" s="415" t="s">
        <v>2084</v>
      </c>
      <c r="B3" s="1271" t="s">
        <v>2085</v>
      </c>
      <c r="C3" s="2373" t="s">
        <v>2086</v>
      </c>
      <c r="D3" s="2374"/>
      <c r="E3" s="431" t="s">
        <v>2084</v>
      </c>
      <c r="F3" s="2375" t="s">
        <v>2087</v>
      </c>
      <c r="G3" s="2376" t="s">
        <v>2088</v>
      </c>
      <c r="H3" s="2371"/>
      <c r="I3" s="2371"/>
      <c r="J3" s="2371"/>
      <c r="K3" s="2371"/>
      <c r="L3" s="2371"/>
      <c r="M3" s="2371"/>
      <c r="N3" s="2371"/>
      <c r="O3" s="2371"/>
      <c r="P3" s="2371"/>
      <c r="Q3" s="2371"/>
      <c r="R3" s="2371"/>
    </row>
    <row r="4" spans="1:29" ht="41.25">
      <c r="A4" s="431"/>
      <c r="B4" s="1798" t="s">
        <v>2089</v>
      </c>
      <c r="C4" s="2377" t="s">
        <v>2090</v>
      </c>
      <c r="D4" s="2374"/>
      <c r="E4" s="2378"/>
      <c r="F4" s="42" t="s">
        <v>2091</v>
      </c>
      <c r="G4" s="2379" t="s">
        <v>2092</v>
      </c>
      <c r="H4" s="2371"/>
      <c r="I4" s="2371"/>
      <c r="J4" s="2371"/>
      <c r="K4" s="2371"/>
      <c r="L4" s="2371"/>
      <c r="M4" s="2371"/>
      <c r="N4" s="2371"/>
      <c r="O4" s="2371"/>
      <c r="P4" s="2371"/>
      <c r="Q4" s="2371"/>
      <c r="R4" s="2371"/>
    </row>
    <row r="5" spans="1:29" ht="41.25">
      <c r="A5" s="431"/>
      <c r="B5" s="1798" t="s">
        <v>2093</v>
      </c>
      <c r="C5" s="2377" t="s">
        <v>2094</v>
      </c>
      <c r="D5" s="2374"/>
      <c r="E5" s="2378"/>
      <c r="F5" s="1798" t="s">
        <v>2095</v>
      </c>
      <c r="G5" s="2379" t="s">
        <v>2096</v>
      </c>
      <c r="H5" s="2371"/>
      <c r="I5" s="2371"/>
      <c r="J5" s="2371"/>
      <c r="K5" s="2371"/>
      <c r="L5" s="2371"/>
      <c r="M5" s="2371"/>
      <c r="N5" s="2371"/>
      <c r="O5" s="2371"/>
      <c r="P5" s="2371"/>
      <c r="Q5" s="2371"/>
      <c r="R5" s="2371"/>
    </row>
    <row r="6" spans="1:29" ht="54">
      <c r="A6" s="431"/>
      <c r="B6" s="1798" t="s">
        <v>2097</v>
      </c>
      <c r="C6" s="2379" t="s">
        <v>2092</v>
      </c>
      <c r="D6" s="2374"/>
      <c r="E6" s="2378"/>
      <c r="F6" s="1798" t="s">
        <v>2098</v>
      </c>
      <c r="G6" s="2379" t="s">
        <v>2099</v>
      </c>
      <c r="H6" s="2371"/>
      <c r="I6" s="2371"/>
      <c r="J6" s="2371"/>
      <c r="K6" s="2371"/>
      <c r="L6" s="2371"/>
      <c r="M6" s="2371"/>
      <c r="N6" s="2371"/>
      <c r="O6" s="2371"/>
      <c r="P6" s="2371"/>
      <c r="Q6" s="2371"/>
      <c r="R6" s="2371"/>
    </row>
    <row r="7" spans="1:29" ht="41.25" thickBot="1">
      <c r="A7" s="431"/>
      <c r="B7" s="1798" t="s">
        <v>2095</v>
      </c>
      <c r="C7" s="2379" t="s">
        <v>2096</v>
      </c>
      <c r="D7" s="2380"/>
      <c r="E7" s="2381"/>
      <c r="F7" s="2382" t="s">
        <v>2100</v>
      </c>
      <c r="G7" s="2383" t="s">
        <v>2101</v>
      </c>
      <c r="H7" s="2371"/>
      <c r="I7" s="2371"/>
      <c r="J7" s="2371"/>
      <c r="K7" s="2371"/>
      <c r="L7" s="2371"/>
      <c r="M7" s="2371"/>
      <c r="N7" s="2371"/>
      <c r="O7" s="2371"/>
      <c r="P7" s="2371"/>
      <c r="Q7" s="2371"/>
      <c r="R7" s="2371"/>
    </row>
    <row r="8" spans="1:29" ht="27">
      <c r="A8" s="431"/>
      <c r="B8" s="1798" t="s">
        <v>2098</v>
      </c>
      <c r="C8" s="2379" t="s">
        <v>2099</v>
      </c>
      <c r="D8" s="2380"/>
      <c r="E8" s="2380"/>
      <c r="F8" s="1136"/>
      <c r="G8" s="1136"/>
      <c r="H8" s="2371"/>
      <c r="I8" s="2371"/>
      <c r="J8" s="2371"/>
      <c r="K8" s="2371"/>
      <c r="L8" s="2371"/>
      <c r="M8" s="2371"/>
      <c r="N8" s="2371"/>
      <c r="O8" s="2371"/>
      <c r="P8" s="2371"/>
      <c r="Q8" s="2371"/>
      <c r="R8" s="2371"/>
    </row>
    <row r="9" spans="1:29" ht="27">
      <c r="A9" s="431"/>
      <c r="B9" s="1798" t="s">
        <v>2102</v>
      </c>
      <c r="C9" s="2377" t="s">
        <v>2103</v>
      </c>
      <c r="D9" s="2374"/>
      <c r="E9" s="2380"/>
      <c r="F9" s="1136"/>
      <c r="G9" s="1136"/>
      <c r="H9" s="2371"/>
      <c r="I9" s="2371"/>
      <c r="J9" s="2371"/>
      <c r="K9" s="2371"/>
      <c r="L9" s="2371"/>
      <c r="M9" s="2371"/>
      <c r="N9" s="2371"/>
      <c r="O9" s="2371"/>
      <c r="P9" s="2371"/>
      <c r="Q9" s="2371"/>
      <c r="R9" s="2371"/>
    </row>
    <row r="10" spans="1:29" s="117" customFormat="1" ht="15.75" thickBot="1">
      <c r="A10" s="2384"/>
      <c r="B10" s="2385" t="s">
        <v>2104</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2105</v>
      </c>
      <c r="B13" s="2391"/>
      <c r="C13" s="2391"/>
      <c r="D13" s="2398"/>
      <c r="E13" s="2391"/>
      <c r="F13" s="2391"/>
      <c r="G13" s="2391"/>
    </row>
    <row r="14" spans="1:29" ht="15.75" thickBot="1">
      <c r="A14" s="2402"/>
      <c r="B14" s="2403"/>
      <c r="C14" s="2404" t="s">
        <v>2106</v>
      </c>
      <c r="D14" s="2374"/>
      <c r="E14" s="2405"/>
      <c r="F14" s="2405"/>
      <c r="G14" s="2368" t="s">
        <v>2107</v>
      </c>
    </row>
    <row r="15" spans="1:29" ht="57">
      <c r="A15" s="68" t="s">
        <v>2108</v>
      </c>
      <c r="B15" s="1270" t="s">
        <v>2085</v>
      </c>
      <c r="C15" s="2406" t="str">
        <f>C3</f>
        <v>估价对象周边居住用地比例、居住小区规模和社区发展完善程度，综合评价居住社区成熟度一般</v>
      </c>
      <c r="D15" s="2374"/>
      <c r="E15" s="2407" t="s">
        <v>2109</v>
      </c>
      <c r="F15" s="1270" t="s">
        <v>2110</v>
      </c>
      <c r="G15" s="135" t="str">
        <f>G3</f>
        <v>估价对象位于XX开发区，园区建设成熟度XX，产业集聚程度XX</v>
      </c>
    </row>
    <row r="16" spans="1:29" ht="42.75">
      <c r="A16" s="645"/>
      <c r="B16" s="2408" t="s">
        <v>2089</v>
      </c>
      <c r="C16" s="2409" t="str">
        <f>C4</f>
        <v>估价对象位于XX商圈，周边商业氛围成熟，人流量大，商业繁华度好</v>
      </c>
      <c r="D16" s="2374"/>
      <c r="E16" s="2410"/>
      <c r="F16" s="2411" t="s">
        <v>2091</v>
      </c>
      <c r="G16" s="136" t="str">
        <f>G4</f>
        <v>估价对象周边道路状况、公共交通通达情况、停车便捷程度，综合评价交通便捷度较好</v>
      </c>
    </row>
    <row r="17" spans="1:18" ht="42.75">
      <c r="A17" s="645"/>
      <c r="B17" s="2408" t="s">
        <v>2093</v>
      </c>
      <c r="C17" s="2409" t="str">
        <f>C5</f>
        <v>估价对象位于XX商圈，周边办公楼项目较多，入驻率高，办公集聚程度较好</v>
      </c>
      <c r="D17" s="2380"/>
      <c r="E17" s="2410"/>
      <c r="F17" s="2411" t="s">
        <v>2111</v>
      </c>
      <c r="G17" s="1572"/>
    </row>
    <row r="18" spans="1:18" ht="57">
      <c r="A18" s="645"/>
      <c r="B18" s="2411" t="s">
        <v>2097</v>
      </c>
      <c r="C18" s="136" t="str">
        <f>C6</f>
        <v>估价对象周边道路状况、公共交通通达情况、停车便捷程度，综合评价交通便捷度较好</v>
      </c>
      <c r="D18" s="2380"/>
      <c r="E18" s="2410"/>
      <c r="F18" s="2411" t="s">
        <v>2100</v>
      </c>
      <c r="G18" s="136" t="str">
        <f>G7</f>
        <v>该园区内是否有污染型企业，绿化情况，卫生条件，整体环境状况判断</v>
      </c>
    </row>
    <row r="19" spans="1:18" ht="28.5">
      <c r="A19" s="645"/>
      <c r="B19" s="2411" t="s">
        <v>2112</v>
      </c>
      <c r="C19" s="1572"/>
      <c r="D19" s="2374"/>
      <c r="E19" s="2410"/>
      <c r="F19" s="1798" t="s">
        <v>2095</v>
      </c>
      <c r="G19" s="136" t="str">
        <f>G5</f>
        <v>估价对象所在区域公共配套设施齐备情况</v>
      </c>
    </row>
    <row r="20" spans="1:18" ht="28.5">
      <c r="A20" s="645"/>
      <c r="B20" s="2411" t="s">
        <v>2113</v>
      </c>
      <c r="C20" s="2409" t="str">
        <f>C9</f>
        <v>区域自然环境：；人文环境；综合评价环境状况一般</v>
      </c>
      <c r="D20" s="2380"/>
      <c r="E20" s="2410"/>
      <c r="F20" s="1798" t="s">
        <v>2114</v>
      </c>
      <c r="G20" s="136" t="str">
        <f>G6</f>
        <v>估价对象所在区域基础设施水平</v>
      </c>
    </row>
    <row r="21" spans="1:18" ht="28.5">
      <c r="A21" s="645"/>
      <c r="B21" s="1798" t="s">
        <v>2095</v>
      </c>
      <c r="C21" s="136" t="str">
        <f>C7</f>
        <v>估价对象所在区域公共配套设施齐备情况</v>
      </c>
      <c r="D21" s="2374"/>
      <c r="E21" s="2410"/>
      <c r="F21" s="2411" t="s">
        <v>2115</v>
      </c>
      <c r="G21" s="2412"/>
    </row>
    <row r="22" spans="1:18" ht="13.5" customHeight="1">
      <c r="A22" s="645"/>
      <c r="B22" s="1798" t="s">
        <v>2098</v>
      </c>
      <c r="C22" s="136" t="str">
        <f>C8</f>
        <v>估价对象所在区域基础设施水平</v>
      </c>
      <c r="D22" s="2374"/>
      <c r="E22" s="2410"/>
      <c r="F22" s="2411" t="s">
        <v>2104</v>
      </c>
      <c r="G22" s="1572"/>
    </row>
    <row r="23" spans="1:18" s="2371" customFormat="1" ht="15.75" thickBot="1">
      <c r="A23" s="645"/>
      <c r="B23" s="2411" t="s">
        <v>2115</v>
      </c>
      <c r="C23" s="2412"/>
      <c r="D23" s="2399"/>
      <c r="E23" s="2413"/>
      <c r="F23" s="2414" t="s">
        <v>2116</v>
      </c>
      <c r="G23" s="2415"/>
      <c r="H23" s="2399"/>
      <c r="I23" s="2400"/>
      <c r="J23" s="2399"/>
      <c r="K23" s="2399"/>
      <c r="L23" s="2400"/>
      <c r="M23" s="2399"/>
      <c r="N23" s="2399"/>
      <c r="O23" s="2400"/>
      <c r="P23" s="2399"/>
      <c r="Q23" s="2399"/>
      <c r="R23" s="2401"/>
    </row>
    <row r="24" spans="1:18" s="2371" customFormat="1" ht="15.75" thickBot="1">
      <c r="A24" s="2416"/>
      <c r="B24" s="2414" t="s">
        <v>2117</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0" sqref="F30"/>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33991.919999999998</v>
      </c>
      <c r="C1" s="1745"/>
      <c r="D1" s="1745"/>
      <c r="E1" s="1745"/>
      <c r="F1" s="1745"/>
      <c r="G1" s="1743"/>
    </row>
    <row r="2" spans="1:10" ht="16.5">
      <c r="A2" s="1746" t="s">
        <v>1349</v>
      </c>
      <c r="B2" s="1746">
        <f>SUM(C14:C23)</f>
        <v>3961.7599999999998</v>
      </c>
      <c r="C2" s="1745"/>
      <c r="D2" s="1745"/>
      <c r="E2" s="1745"/>
      <c r="F2" s="1745"/>
      <c r="G2" s="1743"/>
    </row>
    <row r="3" spans="1:10" ht="16.5">
      <c r="A3" s="1746" t="s">
        <v>1358</v>
      </c>
      <c r="B3" s="1747">
        <f>项目基本情况!D3</f>
        <v>43532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56006</v>
      </c>
      <c r="C5" s="1746">
        <f ca="1">ROUND(B5*10000/$B$1,0)</f>
        <v>16476</v>
      </c>
      <c r="D5" s="1746">
        <f ca="1">ROUND(B5*10000/$B$2,0)</f>
        <v>141366</v>
      </c>
      <c r="E5" s="1745"/>
      <c r="F5" s="1743"/>
      <c r="G5" s="1743"/>
    </row>
    <row r="6" spans="1:10" ht="16.5">
      <c r="A6" s="1746" t="s">
        <v>1352</v>
      </c>
      <c r="B6" s="1746">
        <f ca="1">SUM(G14:G23)</f>
        <v>56006</v>
      </c>
      <c r="C6" s="1746">
        <f ca="1">ROUND(B6*10000/$B$1,0)</f>
        <v>16476</v>
      </c>
      <c r="D6" s="1746">
        <f ca="1">ROUND(B6*10000/$B$2,0)</f>
        <v>141366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30847.029999999995</v>
      </c>
      <c r="C14" s="1744">
        <f>结果表!C118</f>
        <v>3595.22</v>
      </c>
      <c r="D14" s="1744">
        <f ca="1">结果表!H118</f>
        <v>52798</v>
      </c>
      <c r="E14" s="1744">
        <f ca="1">ROUND(D14*10000/B14,0)</f>
        <v>17116</v>
      </c>
      <c r="F14" s="1744">
        <f ca="1">ROUND(D14*10000/C14,0)</f>
        <v>146856</v>
      </c>
      <c r="G14" s="1744">
        <f ca="1">结果表!D122</f>
        <v>52798</v>
      </c>
      <c r="H14" s="1744" t="str">
        <f>结果表!D124</f>
        <v>——</v>
      </c>
      <c r="I14" s="1744" t="str">
        <f>结果表!D126</f>
        <v>——</v>
      </c>
      <c r="J14" s="1743"/>
    </row>
    <row r="15" spans="1:10" ht="16.5">
      <c r="A15" s="1742" t="s">
        <v>1345</v>
      </c>
      <c r="B15" s="1749">
        <f>'结果表-办公'!L18</f>
        <v>3144.8900000000003</v>
      </c>
      <c r="C15" s="1749">
        <f>'结果表-办公'!L19</f>
        <v>366.54</v>
      </c>
      <c r="D15" s="1749">
        <f ca="1">'结果表-办公'!G19</f>
        <v>3208</v>
      </c>
      <c r="E15" s="1744">
        <f t="shared" ref="E15:E23" ca="1" si="0">ROUND(D15*10000/B15,0)</f>
        <v>10201</v>
      </c>
      <c r="F15" s="1744">
        <f t="shared" ref="F15:F23" ca="1" si="1">ROUND(D15*10000/C15,0)</f>
        <v>87521</v>
      </c>
      <c r="G15" s="1750">
        <f ca="1">D15</f>
        <v>3208</v>
      </c>
      <c r="H15" s="1750"/>
      <c r="I15" s="1749"/>
      <c r="J15" s="1743"/>
    </row>
    <row r="16" spans="1:10" ht="16.5">
      <c r="A16" s="1742" t="s">
        <v>1344</v>
      </c>
      <c r="B16" s="1749">
        <f>'结果表-车库'!L18</f>
        <v>0</v>
      </c>
      <c r="C16" s="1749">
        <f>'结果表-车库'!L19</f>
        <v>0</v>
      </c>
      <c r="D16" s="1749">
        <f ca="1">'结果表-车库'!G19</f>
        <v>0</v>
      </c>
      <c r="E16" s="1744" t="e">
        <f t="shared" ca="1" si="0"/>
        <v>#DIV/0!</v>
      </c>
      <c r="F16" s="1744" t="e">
        <f t="shared" ca="1" si="1"/>
        <v>#DIV/0!</v>
      </c>
      <c r="G16" s="1750">
        <f ca="1">D16</f>
        <v>0</v>
      </c>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1373</v>
      </c>
      <c r="D1" s="2422"/>
      <c r="E1" s="2422"/>
      <c r="F1" s="2424" t="s">
        <v>2119</v>
      </c>
      <c r="G1" s="2074" t="s">
        <v>3248</v>
      </c>
      <c r="H1" s="2425" t="str">
        <f>IF(G1="现房","——","估价对象范围")</f>
        <v>——</v>
      </c>
      <c r="I1" s="2426"/>
    </row>
    <row r="2" spans="1:12" ht="21.75" customHeight="1" thickBot="1">
      <c r="A2" s="3183" t="str">
        <f>项目基本情况!S2</f>
        <v>房地产</v>
      </c>
      <c r="B2" s="3184"/>
      <c r="C2" s="3184"/>
      <c r="D2" s="3184"/>
      <c r="E2" s="3184"/>
      <c r="F2" s="3184"/>
      <c r="G2" s="3184"/>
      <c r="H2" s="3184"/>
      <c r="I2" s="3185"/>
    </row>
    <row r="3" spans="1:12" ht="12.75">
      <c r="A3" s="3187" t="s">
        <v>2120</v>
      </c>
      <c r="B3" s="3188"/>
      <c r="C3" s="3188"/>
      <c r="D3" s="3188"/>
      <c r="E3" s="3188"/>
      <c r="F3" s="3188"/>
      <c r="G3" s="3188"/>
      <c r="H3" s="3188"/>
      <c r="I3" s="3188"/>
    </row>
    <row r="4" spans="1:12" ht="14.25">
      <c r="A4" s="2429" t="s">
        <v>2121</v>
      </c>
      <c r="B4" s="2430" t="s">
        <v>2122</v>
      </c>
      <c r="C4" s="2431" t="s">
        <v>3276</v>
      </c>
      <c r="D4" s="2431" t="s">
        <v>3236</v>
      </c>
      <c r="E4" s="3180" t="s">
        <v>2123</v>
      </c>
      <c r="F4" s="3181"/>
      <c r="G4" s="3181"/>
      <c r="H4" s="3181"/>
      <c r="I4" s="3189"/>
      <c r="K4" s="2432" t="str">
        <f>IF(ISNUMBER(FIND("比较法",结果表!C4)),"比较法",IF(ISNUMBER(FIND("成本法",结果表!C4)),"成本法",IF(ISNUMBER(FIND("假设开发法",结果表!C4)),"假设开发法",IF(ISNUMBER(FIND("收益法",结果表!C4)),"收益法","基准地价系数修正法"))))</f>
        <v>基准地价系数修正法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63" t="s">
        <v>2124</v>
      </c>
      <c r="B5" s="3077">
        <v>25</v>
      </c>
      <c r="C5" s="3166"/>
      <c r="D5" s="3186"/>
      <c r="E5" s="140" t="s">
        <v>2125</v>
      </c>
      <c r="F5" s="2433"/>
      <c r="G5" s="2433"/>
      <c r="H5" s="2433"/>
      <c r="I5" s="1834"/>
    </row>
    <row r="6" spans="1:12" ht="12.75">
      <c r="A6" s="3163"/>
      <c r="B6" s="3077"/>
      <c r="C6" s="3167"/>
      <c r="D6" s="3186"/>
      <c r="E6" s="140" t="s">
        <v>2126</v>
      </c>
      <c r="F6" s="2433"/>
      <c r="G6" s="2433"/>
      <c r="H6" s="2433"/>
      <c r="I6" s="1834"/>
    </row>
    <row r="7" spans="1:12" ht="12.75">
      <c r="A7" s="3163"/>
      <c r="B7" s="3077"/>
      <c r="C7" s="3168"/>
      <c r="D7" s="3186"/>
      <c r="E7" s="140" t="s">
        <v>2127</v>
      </c>
      <c r="F7" s="2433"/>
      <c r="G7" s="2433"/>
      <c r="H7" s="2433"/>
      <c r="I7" s="1834"/>
    </row>
    <row r="8" spans="1:12" ht="12.75">
      <c r="A8" s="3163" t="s">
        <v>2128</v>
      </c>
      <c r="B8" s="3077">
        <v>15</v>
      </c>
      <c r="C8" s="3166"/>
      <c r="D8" s="3186"/>
      <c r="E8" s="140" t="s">
        <v>2129</v>
      </c>
      <c r="F8" s="2433"/>
      <c r="G8" s="2433"/>
      <c r="H8" s="2433"/>
      <c r="I8" s="1834"/>
    </row>
    <row r="9" spans="1:12" ht="12.75">
      <c r="A9" s="3163"/>
      <c r="B9" s="3077"/>
      <c r="C9" s="3168"/>
      <c r="D9" s="3186"/>
      <c r="E9" s="140" t="s">
        <v>2130</v>
      </c>
      <c r="F9" s="2433"/>
      <c r="G9" s="2433"/>
      <c r="H9" s="2433"/>
      <c r="I9" s="1834"/>
    </row>
    <row r="10" spans="1:12" ht="12.75">
      <c r="A10" s="3163" t="s">
        <v>2131</v>
      </c>
      <c r="B10" s="3077">
        <v>15</v>
      </c>
      <c r="C10" s="3166"/>
      <c r="D10" s="3186"/>
      <c r="E10" s="140" t="s">
        <v>2132</v>
      </c>
      <c r="F10" s="2433"/>
      <c r="G10" s="2433"/>
      <c r="H10" s="2433"/>
      <c r="I10" s="1834"/>
    </row>
    <row r="11" spans="1:12" ht="12.75">
      <c r="A11" s="3163"/>
      <c r="B11" s="3077"/>
      <c r="C11" s="3168"/>
      <c r="D11" s="3186"/>
      <c r="E11" s="140" t="s">
        <v>2133</v>
      </c>
      <c r="F11" s="2433"/>
      <c r="G11" s="2433"/>
      <c r="H11" s="2433"/>
      <c r="I11" s="1834"/>
    </row>
    <row r="12" spans="1:12" ht="12.75">
      <c r="A12" s="3163" t="s">
        <v>2134</v>
      </c>
      <c r="B12" s="3077">
        <v>15</v>
      </c>
      <c r="C12" s="3166"/>
      <c r="D12" s="3186"/>
      <c r="E12" s="140" t="s">
        <v>2135</v>
      </c>
      <c r="F12" s="2433"/>
      <c r="G12" s="2433"/>
      <c r="H12" s="2433"/>
      <c r="I12" s="1834"/>
    </row>
    <row r="13" spans="1:12" ht="12.75">
      <c r="A13" s="3163"/>
      <c r="B13" s="3077"/>
      <c r="C13" s="3168"/>
      <c r="D13" s="3186"/>
      <c r="E13" s="140" t="s">
        <v>2136</v>
      </c>
      <c r="F13" s="2433"/>
      <c r="G13" s="2433"/>
      <c r="H13" s="2433"/>
      <c r="I13" s="1834"/>
    </row>
    <row r="14" spans="1:12" ht="12.75">
      <c r="A14" s="3163" t="s">
        <v>2137</v>
      </c>
      <c r="B14" s="3077">
        <v>30</v>
      </c>
      <c r="C14" s="3166">
        <v>7</v>
      </c>
      <c r="D14" s="3186">
        <v>3</v>
      </c>
      <c r="E14" s="140" t="s">
        <v>2138</v>
      </c>
      <c r="F14" s="2433"/>
      <c r="G14" s="2433"/>
      <c r="H14" s="2433"/>
      <c r="I14" s="1834"/>
    </row>
    <row r="15" spans="1:12" ht="12.75">
      <c r="A15" s="3163"/>
      <c r="B15" s="3077"/>
      <c r="C15" s="3167"/>
      <c r="D15" s="3186"/>
      <c r="E15" s="140" t="s">
        <v>2139</v>
      </c>
      <c r="F15" s="2433"/>
      <c r="G15" s="2433"/>
      <c r="H15" s="2433"/>
      <c r="I15" s="1834"/>
    </row>
    <row r="16" spans="1:12" ht="12.75">
      <c r="A16" s="3163"/>
      <c r="B16" s="3077"/>
      <c r="C16" s="3168"/>
      <c r="D16" s="3186"/>
      <c r="E16" s="140" t="s">
        <v>2140</v>
      </c>
      <c r="F16" s="2433"/>
      <c r="G16" s="2433"/>
      <c r="H16" s="2433"/>
      <c r="I16" s="1834"/>
    </row>
    <row r="17" spans="1:35" ht="15">
      <c r="A17" s="2434" t="s">
        <v>2141</v>
      </c>
      <c r="B17" s="64"/>
      <c r="C17" s="141">
        <f>SUM(C5:C16)</f>
        <v>7</v>
      </c>
      <c r="D17" s="141">
        <f>SUM(D5:D16)</f>
        <v>3</v>
      </c>
      <c r="E17" s="138"/>
      <c r="F17" s="138"/>
      <c r="G17" s="138"/>
      <c r="H17" s="138"/>
      <c r="I17" s="138"/>
      <c r="K17" s="2432"/>
      <c r="L17" s="2435" t="s">
        <v>2142</v>
      </c>
      <c r="M17" s="2435" t="s">
        <v>2143</v>
      </c>
    </row>
    <row r="18" spans="1:35" ht="15.75" thickBot="1">
      <c r="A18" s="2436" t="s">
        <v>2144</v>
      </c>
      <c r="B18" s="2437"/>
      <c r="C18" s="142">
        <f>ROUND(C17/SUM(C17:D17),2)</f>
        <v>0.7</v>
      </c>
      <c r="D18" s="142">
        <f>1-C18</f>
        <v>0.30000000000000004</v>
      </c>
      <c r="E18" s="138"/>
      <c r="F18" s="138"/>
      <c r="G18" s="138"/>
      <c r="H18" s="138"/>
      <c r="I18" s="138"/>
      <c r="K18" s="2432" t="s">
        <v>2145</v>
      </c>
      <c r="L18" s="2432">
        <f>IF(C1="",'数据-汇总表'!E3,SUMIF(项目类型,C1,'数据-汇总表'!E17:E26)+SUMIF(项目类型,C1,'数据-汇总表'!I17:I26))</f>
        <v>30847.029999999995</v>
      </c>
      <c r="M18" s="2432">
        <f>IF(C1="",'数据-汇总表'!E3,SUMIF(项目类型,C1,'数据-汇总表'!E17:E26))</f>
        <v>30847.029999999995</v>
      </c>
    </row>
    <row r="19" spans="1:35" ht="15">
      <c r="A19" s="2438" t="s">
        <v>2146</v>
      </c>
      <c r="B19" s="2439" t="s">
        <v>2147</v>
      </c>
      <c r="C19" s="143">
        <f ca="1">SUMIF(INDIRECT("'"&amp;C4&amp;"'"&amp;"!A:A"),结果表!B19,INDIRECT("'"&amp;C4&amp;"'"&amp;"!B:B"))</f>
        <v>64783</v>
      </c>
      <c r="D19" s="144">
        <f ca="1">SUMIF(INDIRECT("'"&amp;D4&amp;"'"&amp;"!A:A"),结果表!B19,INDIRECT("'"&amp;D4&amp;"'"&amp;"!B:B"))</f>
        <v>24834</v>
      </c>
      <c r="E19" s="2438" t="s">
        <v>2148</v>
      </c>
      <c r="F19" s="2439" t="s">
        <v>2147</v>
      </c>
      <c r="G19" s="145">
        <f ca="1">ROUND(C19*$C$18+D19*$D$18,0)</f>
        <v>52798</v>
      </c>
      <c r="H19" s="2440" t="s">
        <v>2149</v>
      </c>
      <c r="I19" s="138"/>
      <c r="K19" s="2432" t="s">
        <v>2150</v>
      </c>
      <c r="L19" s="2432">
        <f>IF(C1="",'数据-汇总表'!D3,SUMIF(项目类型,C1,'数据-汇总表'!D17:D26)+SUMIF(项目类型,C1,'数据-汇总表'!H17:H27))</f>
        <v>3595.22</v>
      </c>
      <c r="M19" s="2432">
        <f>IF(C1="",'数据-汇总表'!D3,SUMIF(项目类型,C1,'数据-汇总表'!D17:D26))</f>
        <v>3595.22</v>
      </c>
    </row>
    <row r="20" spans="1:35" ht="15">
      <c r="A20" s="2441"/>
      <c r="B20" s="1250" t="s">
        <v>2151</v>
      </c>
      <c r="C20" s="146">
        <f ca="1">SUMIF(INDIRECT("'"&amp;C4&amp;"'"&amp;"!A:A"),结果表!B20,INDIRECT("'"&amp;C4&amp;"'"&amp;"!B:B"))</f>
        <v>22073</v>
      </c>
      <c r="D20" s="147">
        <f ca="1">SUMIF(INDIRECT("'"&amp;D4&amp;"'"&amp;"!A:A"),结果表!B20,INDIRECT("'"&amp;D4&amp;"'"&amp;"!B:B"))</f>
        <v>8051</v>
      </c>
      <c r="E20" s="2441"/>
      <c r="F20" s="1250" t="s">
        <v>2151</v>
      </c>
      <c r="G20" s="148">
        <f ca="1">ROUND(C20*$C$18+D20*$D$18,0)</f>
        <v>17866</v>
      </c>
      <c r="H20" s="983" t="s">
        <v>2152</v>
      </c>
      <c r="I20" s="138"/>
    </row>
    <row r="21" spans="1:35" ht="15" customHeight="1" thickBot="1">
      <c r="A21" s="1003"/>
      <c r="B21" s="2442" t="s">
        <v>2153</v>
      </c>
      <c r="C21" s="789">
        <f ca="1">ROUND(C19*10000/L19,0)</f>
        <v>180192</v>
      </c>
      <c r="D21" s="790">
        <f ca="1">ROUND(D19*10000/L19,0)</f>
        <v>69075</v>
      </c>
      <c r="E21" s="1003"/>
      <c r="F21" s="2442" t="s">
        <v>2153</v>
      </c>
      <c r="G21" s="149">
        <f ca="1">ROUND(G19*10000/L19,0)</f>
        <v>146856</v>
      </c>
      <c r="H21" s="2443" t="s">
        <v>2152</v>
      </c>
      <c r="I21" s="138"/>
    </row>
    <row r="22" spans="1:35" ht="15" thickBot="1">
      <c r="A22" s="2284" t="s">
        <v>2154</v>
      </c>
      <c r="B22" s="2444"/>
      <c r="C22" s="2445"/>
      <c r="D22" s="791">
        <f ca="1">IF(C19&lt;D19,D19/C19-1,C19/D19-1)</f>
        <v>1.6086413787549327</v>
      </c>
      <c r="E22" s="138"/>
      <c r="F22" s="138"/>
      <c r="G22" s="138"/>
      <c r="H22" s="138"/>
      <c r="I22" s="138"/>
    </row>
    <row r="23" spans="1:35" ht="13.5" thickBot="1">
      <c r="A23" s="2422"/>
      <c r="B23" s="2422"/>
      <c r="C23" s="2422"/>
      <c r="D23" s="2422"/>
      <c r="E23" s="138"/>
      <c r="F23" s="138"/>
      <c r="G23" s="138"/>
      <c r="H23" s="138"/>
      <c r="I23" s="138"/>
    </row>
    <row r="24" spans="1:35" ht="14.25">
      <c r="A24" s="3157" t="s">
        <v>2155</v>
      </c>
      <c r="B24" s="2439" t="s">
        <v>2147</v>
      </c>
      <c r="C24" s="145">
        <f>IF(B30=0,0,D30)</f>
        <v>0</v>
      </c>
      <c r="D24" s="2446"/>
      <c r="E24" s="138"/>
      <c r="F24" s="138"/>
      <c r="G24" s="138"/>
      <c r="H24" s="138"/>
      <c r="I24" s="138"/>
    </row>
    <row r="25" spans="1:35" ht="14.25">
      <c r="A25" s="3158"/>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52798</v>
      </c>
      <c r="D32" s="2453" t="s">
        <v>2162</v>
      </c>
      <c r="E32" s="138"/>
      <c r="F32" s="138"/>
      <c r="G32" s="138"/>
      <c r="H32" s="138"/>
      <c r="I32" s="138"/>
    </row>
    <row r="33" spans="1:15" ht="15">
      <c r="A33" s="960" t="s">
        <v>2163</v>
      </c>
      <c r="B33" s="2454"/>
      <c r="C33" s="2455" t="s">
        <v>3312</v>
      </c>
      <c r="D33" s="2456" t="s">
        <v>3236</v>
      </c>
      <c r="E33" s="2457" t="s">
        <v>2164</v>
      </c>
      <c r="F33" s="2458" t="str">
        <f>IF(D32="楼面单价","取值（单价）","取值（总价）")</f>
        <v>取值（总价）</v>
      </c>
      <c r="G33" s="138"/>
      <c r="H33" s="138"/>
      <c r="I33" s="138"/>
    </row>
    <row r="34" spans="1:15" ht="15">
      <c r="A34" s="2459"/>
      <c r="B34" s="2460" t="s">
        <v>2165</v>
      </c>
      <c r="C34" s="157">
        <f ca="1">IF(C33="自定义",F34,C32-C35)</f>
        <v>24129</v>
      </c>
      <c r="D34" s="1058">
        <f ca="1">IF(C33="自定义",ROUND(C34/C32,3),IF(C33="收益比率",SUMIF(INDIRECT("'"&amp;D33&amp;"'"&amp;"!b:b"),"土地收益比率",INDIRECT("'"&amp;D33&amp;"'"&amp;"!c:c")),SUMIF(INDIRECT("'"&amp;D33&amp;"'"&amp;"!b:b"),"土地成本比率",INDIRECT("'"&amp;D33&amp;"'"&amp;"!c:c"))))</f>
        <v>0.45699999999999996</v>
      </c>
      <c r="E34" s="2461" t="s">
        <v>2166</v>
      </c>
      <c r="F34" s="1739"/>
      <c r="G34" s="138"/>
      <c r="H34" s="138"/>
      <c r="I34" s="138"/>
    </row>
    <row r="35" spans="1:15" ht="15.75" thickBot="1">
      <c r="A35" s="2462"/>
      <c r="B35" s="2463" t="s">
        <v>2167</v>
      </c>
      <c r="C35" s="1444">
        <f ca="1">IF(C33="自定义",F35,ROUND(C32*D35,0))</f>
        <v>28669</v>
      </c>
      <c r="D35" s="1445">
        <f ca="1">IF(C33="自定义",ROUND(C35/C32,3),IF(C33="收益比率",SUMIF(INDIRECT("'"&amp;D33&amp;"'"&amp;"!b:b"),"建筑物收益比率",INDIRECT("'"&amp;D33&amp;"'"&amp;"!c:c")),SUMIF(INDIRECT("'"&amp;D33&amp;"'"&amp;"!b:b"),"建筑物成本比率",INDIRECT("'"&amp;D33&amp;"'"&amp;"!c:c"))))</f>
        <v>0.54300000000000004</v>
      </c>
      <c r="E35" s="2464" t="s">
        <v>2168</v>
      </c>
      <c r="F35" s="163"/>
      <c r="G35" s="138"/>
      <c r="H35" s="138"/>
      <c r="I35" s="138"/>
    </row>
    <row r="36" spans="1:15" ht="15.75" thickBot="1">
      <c r="A36" s="3175" t="s">
        <v>2169</v>
      </c>
      <c r="B36" s="2465" t="s">
        <v>2170</v>
      </c>
      <c r="C36" s="154"/>
      <c r="D36" s="2466"/>
      <c r="E36" s="2467"/>
      <c r="F36" s="2468"/>
      <c r="G36" s="138"/>
      <c r="H36" s="138"/>
      <c r="I36" s="138"/>
    </row>
    <row r="37" spans="1:15" ht="15.75" thickBot="1">
      <c r="A37" s="3176"/>
      <c r="B37" s="2270" t="s">
        <v>2171</v>
      </c>
      <c r="C37" s="156"/>
      <c r="D37" s="1395"/>
      <c r="E37" s="1395"/>
      <c r="F37" s="2468"/>
      <c r="G37" s="138"/>
      <c r="H37" s="138"/>
      <c r="I37" s="138"/>
    </row>
    <row r="38" spans="1:15" ht="15.75" thickBot="1">
      <c r="A38" s="3177"/>
      <c r="B38" s="2469" t="s">
        <v>2172</v>
      </c>
      <c r="C38" s="727"/>
      <c r="D38" s="2470" t="s">
        <v>2173</v>
      </c>
      <c r="E38" s="1395"/>
      <c r="F38" s="2468"/>
      <c r="G38" s="138"/>
      <c r="H38" s="138"/>
      <c r="I38" s="138"/>
    </row>
    <row r="39" spans="1:15" ht="15">
      <c r="A39" s="2441" t="s">
        <v>2174</v>
      </c>
      <c r="B39" s="2471" t="s">
        <v>2175</v>
      </c>
      <c r="C39" s="2472" t="s">
        <v>2176</v>
      </c>
      <c r="D39" s="2472" t="s">
        <v>2177</v>
      </c>
      <c r="E39" s="2473" t="s">
        <v>2178</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154" t="s">
        <v>2183</v>
      </c>
      <c r="B45" s="3155"/>
      <c r="C45" s="3156"/>
      <c r="D45" s="164">
        <f ca="1">ROUND(H101*F45,0)</f>
        <v>52798</v>
      </c>
      <c r="E45" s="165" t="s">
        <v>2184</v>
      </c>
      <c r="F45" s="166">
        <v>1</v>
      </c>
      <c r="G45" s="167" t="s">
        <v>2185</v>
      </c>
      <c r="H45" s="138"/>
      <c r="I45" s="138"/>
      <c r="J45" s="3214" t="s">
        <v>2186</v>
      </c>
      <c r="K45" s="3214"/>
      <c r="L45" s="3214"/>
      <c r="M45" s="3214"/>
      <c r="N45" s="3214"/>
      <c r="O45" s="3214"/>
    </row>
    <row r="46" spans="1:15" ht="14.25" customHeight="1">
      <c r="A46" s="3151" t="s">
        <v>2187</v>
      </c>
      <c r="B46" s="3152"/>
      <c r="C46" s="3152"/>
      <c r="D46" s="3152"/>
      <c r="E46" s="3152"/>
      <c r="F46" s="3152"/>
      <c r="G46" s="3153"/>
      <c r="H46" s="2484"/>
      <c r="I46" s="168"/>
      <c r="J46" s="1812">
        <v>1</v>
      </c>
      <c r="K46" s="3214" t="s">
        <v>2188</v>
      </c>
      <c r="L46" s="3214"/>
      <c r="M46" s="3234"/>
      <c r="N46" s="3234"/>
      <c r="O46" s="3234"/>
    </row>
    <row r="47" spans="1:15" ht="12" customHeight="1">
      <c r="A47" s="169" t="s">
        <v>2189</v>
      </c>
      <c r="B47" s="170"/>
      <c r="C47" s="171"/>
      <c r="D47" s="172" t="s">
        <v>2190</v>
      </c>
      <c r="E47" s="24" t="s">
        <v>2191</v>
      </c>
      <c r="F47" s="173" t="s">
        <v>2192</v>
      </c>
      <c r="G47" s="174" t="s">
        <v>2193</v>
      </c>
      <c r="H47" s="2484"/>
      <c r="I47" s="168"/>
      <c r="J47" s="1812">
        <v>2</v>
      </c>
      <c r="K47" s="3214" t="s">
        <v>2194</v>
      </c>
      <c r="L47" s="3214"/>
      <c r="M47" s="3235">
        <f>'数据-取费表'!B2</f>
        <v>43532</v>
      </c>
      <c r="N47" s="3235"/>
      <c r="O47" s="3235"/>
    </row>
    <row r="48" spans="1:15" ht="25.5">
      <c r="A48" s="3182" t="s">
        <v>2195</v>
      </c>
      <c r="B48" s="3165"/>
      <c r="C48" s="3165"/>
      <c r="D48" s="140">
        <f>IF(H48="情况1",0,IF(H48="情况2",D52,IF(H48="情况3",D53,IF(H48="情况4",D54))))</f>
        <v>0</v>
      </c>
      <c r="E48" s="1801" t="str">
        <f>IF(H48="情况4","(销售额-原购置价)×税（费）率","销售额×税（费）率")</f>
        <v>销售额×税（费）率</v>
      </c>
      <c r="F48" s="175" t="str">
        <f>IF(H48="情况1","免征",'数据-取费表'!B41)</f>
        <v>免征</v>
      </c>
      <c r="G48" s="2485" t="s">
        <v>2196</v>
      </c>
      <c r="H48" s="2486" t="s">
        <v>2197</v>
      </c>
      <c r="I48" s="2484"/>
      <c r="J48" s="1812">
        <v>3</v>
      </c>
      <c r="K48" s="3214" t="s">
        <v>2198</v>
      </c>
      <c r="L48" s="3214"/>
      <c r="M48" s="3236">
        <f ca="1">H101</f>
        <v>52798</v>
      </c>
      <c r="N48" s="3236"/>
      <c r="O48" s="3236"/>
    </row>
    <row r="49" spans="1:35" ht="25.5" customHeight="1">
      <c r="A49" s="176" t="s">
        <v>2199</v>
      </c>
      <c r="B49" s="3150" t="s">
        <v>2200</v>
      </c>
      <c r="C49" s="3150"/>
      <c r="D49" s="177">
        <v>0</v>
      </c>
      <c r="E49" s="23" t="s">
        <v>2201</v>
      </c>
      <c r="F49" s="28" t="s">
        <v>34</v>
      </c>
      <c r="G49" s="3220"/>
      <c r="H49" s="138"/>
      <c r="I49" s="2487"/>
      <c r="J49" s="1812">
        <v>4</v>
      </c>
      <c r="K49" s="3214" t="str">
        <f>IF(项目基本情况!E8="房地产抵押价值","房地产抵押价值","抵押担保权已注销时的房地产抵押价值")</f>
        <v>房地产抵押价值</v>
      </c>
      <c r="L49" s="3214"/>
      <c r="M49" s="3236">
        <f ca="1">IF(项目基本情况!E8="房地产抵押价值",H107,H109)</f>
        <v>52798</v>
      </c>
      <c r="N49" s="3236"/>
      <c r="O49" s="3236"/>
    </row>
    <row r="50" spans="1:35" ht="25.5" customHeight="1">
      <c r="A50" s="178"/>
      <c r="B50" s="3150" t="s">
        <v>2202</v>
      </c>
      <c r="C50" s="3150"/>
      <c r="D50" s="179"/>
      <c r="E50" s="31"/>
      <c r="F50" s="180"/>
      <c r="G50" s="3221"/>
      <c r="H50" s="138"/>
      <c r="I50" s="2487"/>
      <c r="J50" s="3214" t="s">
        <v>2203</v>
      </c>
      <c r="K50" s="3214"/>
      <c r="L50" s="3214"/>
      <c r="M50" s="3214"/>
      <c r="N50" s="3214"/>
      <c r="O50" s="3214"/>
    </row>
    <row r="51" spans="1:35" ht="12" customHeight="1">
      <c r="A51" s="181"/>
      <c r="B51" s="3150" t="s">
        <v>2204</v>
      </c>
      <c r="C51" s="3150"/>
      <c r="D51" s="182"/>
      <c r="E51" s="30"/>
      <c r="F51" s="180"/>
      <c r="G51" s="3222"/>
      <c r="H51" s="138"/>
      <c r="I51" s="2487"/>
      <c r="J51" s="2488" t="s">
        <v>2205</v>
      </c>
      <c r="K51" s="3214" t="s">
        <v>2206</v>
      </c>
      <c r="L51" s="3214"/>
      <c r="M51" s="2488" t="s">
        <v>2207</v>
      </c>
      <c r="N51" s="2488" t="s">
        <v>2208</v>
      </c>
      <c r="O51" s="2488" t="s">
        <v>2209</v>
      </c>
    </row>
    <row r="52" spans="1:35" ht="24" customHeight="1">
      <c r="A52" s="183" t="s">
        <v>2210</v>
      </c>
      <c r="B52" s="3150" t="s">
        <v>2211</v>
      </c>
      <c r="C52" s="3150"/>
      <c r="D52" s="182">
        <f ca="1">ROUND(D45*'数据-取费表'!B41/(1+'数据-取费表'!C42),0)</f>
        <v>2816</v>
      </c>
      <c r="E52" s="11" t="s">
        <v>2212</v>
      </c>
      <c r="F52" s="184">
        <f>'数据-取费表'!B41</f>
        <v>5.6000000000000001E-2</v>
      </c>
      <c r="G52" s="2489"/>
      <c r="H52" s="138"/>
      <c r="I52" s="2487"/>
      <c r="J52" s="1812">
        <v>1</v>
      </c>
      <c r="K52" s="3215" t="s">
        <v>2213</v>
      </c>
      <c r="L52" s="3215"/>
      <c r="M52" s="1754">
        <f>D48</f>
        <v>0</v>
      </c>
      <c r="N52" s="1812" t="str">
        <f>E48</f>
        <v>销售额×税（费）率</v>
      </c>
      <c r="O52" s="1755" t="str">
        <f>F48</f>
        <v>免征</v>
      </c>
    </row>
    <row r="53" spans="1:35" ht="12" customHeight="1">
      <c r="A53" s="183" t="s">
        <v>2214</v>
      </c>
      <c r="B53" s="3173" t="s">
        <v>2215</v>
      </c>
      <c r="C53" s="3174"/>
      <c r="D53" s="182">
        <f ca="1">ROUND(D45*'数据-取费表'!B41/(1+'数据-取费表'!C42),0)</f>
        <v>2816</v>
      </c>
      <c r="E53" s="11" t="s">
        <v>2212</v>
      </c>
      <c r="F53" s="184">
        <f>'数据-取费表'!B41</f>
        <v>5.6000000000000001E-2</v>
      </c>
      <c r="G53" s="2489"/>
      <c r="H53" s="138"/>
      <c r="I53" s="2487"/>
      <c r="J53" s="1812">
        <v>2</v>
      </c>
      <c r="K53" s="3215" t="s">
        <v>2216</v>
      </c>
      <c r="L53" s="3215"/>
      <c r="M53" s="1754">
        <f t="shared" ref="M53:O54" ca="1" si="0">D55</f>
        <v>27</v>
      </c>
      <c r="N53" s="1812" t="str">
        <f t="shared" si="0"/>
        <v>销售额×税（费）率</v>
      </c>
      <c r="O53" s="1755">
        <f t="shared" si="0"/>
        <v>5.1999999999999995E-4</v>
      </c>
    </row>
    <row r="54" spans="1:35" ht="12" customHeight="1">
      <c r="A54" s="183" t="s">
        <v>2217</v>
      </c>
      <c r="B54" s="3173" t="s">
        <v>2218</v>
      </c>
      <c r="C54" s="3174"/>
      <c r="D54" s="182">
        <f ca="1">C68</f>
        <v>2816</v>
      </c>
      <c r="E54" s="30" t="s">
        <v>2219</v>
      </c>
      <c r="F54" s="184">
        <f>'数据-取费表'!B41</f>
        <v>5.6000000000000001E-2</v>
      </c>
      <c r="G54" s="2489"/>
      <c r="H54" s="2490"/>
      <c r="I54" s="2487"/>
      <c r="J54" s="1812">
        <v>3</v>
      </c>
      <c r="K54" s="3215" t="s">
        <v>2220</v>
      </c>
      <c r="L54" s="3215"/>
      <c r="M54" s="1754">
        <f t="shared" ca="1" si="0"/>
        <v>29884</v>
      </c>
      <c r="N54" s="1812" t="str">
        <f t="shared" si="0"/>
        <v>增值额×税（费）率</v>
      </c>
      <c r="O54" s="1756" t="str">
        <f t="shared" si="0"/>
        <v>——</v>
      </c>
    </row>
    <row r="55" spans="1:35" ht="24" customHeight="1">
      <c r="A55" s="3164" t="s">
        <v>2221</v>
      </c>
      <c r="B55" s="3165"/>
      <c r="C55" s="3165"/>
      <c r="D55" s="185">
        <f ca="1">IF(H55="个人住宅",0,ROUND(D45*I55,0))</f>
        <v>27</v>
      </c>
      <c r="E55" s="11" t="s">
        <v>2222</v>
      </c>
      <c r="F55" s="184">
        <f>IF(H55="正常",I55,"免征")</f>
        <v>5.1999999999999995E-4</v>
      </c>
      <c r="G55" s="2489"/>
      <c r="H55" s="2486" t="s">
        <v>2223</v>
      </c>
      <c r="I55" s="186">
        <f>'数据-取费表'!B49</f>
        <v>5.1999999999999995E-4</v>
      </c>
      <c r="J55" s="1812" t="str">
        <f>IF(H59="非个人房产","",4)</f>
        <v/>
      </c>
      <c r="K55" s="3215" t="str">
        <f>IF(H59="非个人房产","——","个人所得税")</f>
        <v>——</v>
      </c>
      <c r="L55" s="3215"/>
      <c r="M55" s="1757" t="str">
        <f>D59</f>
        <v>——</v>
      </c>
      <c r="N55" s="1810" t="str">
        <f>E59</f>
        <v>——</v>
      </c>
      <c r="O55" s="1758" t="str">
        <f>F59</f>
        <v>——</v>
      </c>
    </row>
    <row r="56" spans="1:35" ht="24.75">
      <c r="A56" s="3164" t="s">
        <v>2224</v>
      </c>
      <c r="B56" s="3165"/>
      <c r="C56" s="3165"/>
      <c r="D56" s="185">
        <f ca="1">IF(H56="个人住宅",D57,D58)</f>
        <v>29884</v>
      </c>
      <c r="E56" s="11" t="s">
        <v>2225</v>
      </c>
      <c r="F56" s="184" t="str">
        <f>IF(H56="正常",F58,"免征")</f>
        <v>——</v>
      </c>
      <c r="G56" s="2491" t="s">
        <v>2226</v>
      </c>
      <c r="H56" s="2492" t="s">
        <v>2223</v>
      </c>
      <c r="I56" s="2493"/>
      <c r="J56" s="1812" t="str">
        <f>IF(项目基本情况!K6="上海银行",IF(J55="",4,J55+1),"")</f>
        <v/>
      </c>
      <c r="K56" s="3238" t="str">
        <f>IF(项目基本情况!K6="上海银行","其他处置费用","")</f>
        <v/>
      </c>
      <c r="L56" s="3239"/>
      <c r="M56" s="1754" t="str">
        <f>IF(项目基本情况!K6="上海银行",M69,"")</f>
        <v/>
      </c>
      <c r="N56" s="3241" t="str">
        <f>IF(项目基本情况!K6="上海银行","包含处置中涉及的律师、诉讼、拍卖、评估等费用","")</f>
        <v/>
      </c>
      <c r="O56" s="3242"/>
    </row>
    <row r="57" spans="1:35" ht="12.75">
      <c r="A57" s="183" t="s">
        <v>2199</v>
      </c>
      <c r="B57" s="3180" t="s">
        <v>2227</v>
      </c>
      <c r="C57" s="3189"/>
      <c r="D57" s="187">
        <v>0</v>
      </c>
      <c r="E57" s="23" t="s">
        <v>2201</v>
      </c>
      <c r="F57" s="155"/>
      <c r="G57" s="2489"/>
      <c r="H57" s="2493"/>
      <c r="I57" s="2493"/>
      <c r="J57" s="3215">
        <f>IF(AND(J55="",J56=""),4,IF(项目基本情况!K6="上海银行",结果表!J56+1,结果表!J55+1))</f>
        <v>4</v>
      </c>
      <c r="K57" s="3215" t="s">
        <v>2228</v>
      </c>
      <c r="L57" s="2494" t="s">
        <v>2229</v>
      </c>
      <c r="M57" s="1759"/>
      <c r="N57" s="1760">
        <f ca="1">SUMIF(M52:M56,"&lt;9e307")</f>
        <v>29911</v>
      </c>
      <c r="O57" s="2495"/>
      <c r="P57" s="1753">
        <f ca="1">N57/M49</f>
        <v>0.56651767112390616</v>
      </c>
    </row>
    <row r="58" spans="1:35" ht="24.75">
      <c r="A58" s="183" t="s">
        <v>2210</v>
      </c>
      <c r="B58" s="3180" t="s">
        <v>2230</v>
      </c>
      <c r="C58" s="3181"/>
      <c r="D58" s="185">
        <f ca="1">IF(H58="转让取得",C81,C97)</f>
        <v>29884</v>
      </c>
      <c r="E58" s="11" t="s">
        <v>2225</v>
      </c>
      <c r="F58" s="24" t="s">
        <v>34</v>
      </c>
      <c r="G58" s="2489"/>
      <c r="H58" s="2492" t="s">
        <v>2231</v>
      </c>
      <c r="I58" s="2493"/>
      <c r="J58" s="3215"/>
      <c r="K58" s="3215"/>
      <c r="L58" s="2494" t="s">
        <v>2232</v>
      </c>
      <c r="M58" s="1761"/>
      <c r="N58" s="2496" t="str">
        <f ca="1">NUMBERSTRING(INT(N57*10000),2)&amp;"元整"</f>
        <v>贰亿玖仟玖佰壹拾壹万元整</v>
      </c>
      <c r="O58" s="2497"/>
    </row>
    <row r="59" spans="1:35" ht="24.75" thickBot="1">
      <c r="A59" s="3218" t="s">
        <v>2233</v>
      </c>
      <c r="B59" s="3219"/>
      <c r="C59" s="3219"/>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216">
        <f>J57+1</f>
        <v>5</v>
      </c>
      <c r="K59" s="3215" t="s">
        <v>2235</v>
      </c>
      <c r="L59" s="1812" t="s">
        <v>2229</v>
      </c>
      <c r="M59" s="1762"/>
      <c r="N59" s="1763">
        <f ca="1">M49-N57</f>
        <v>22887</v>
      </c>
      <c r="O59" s="2499"/>
    </row>
    <row r="60" spans="1:35" ht="12" customHeight="1">
      <c r="A60" s="2500"/>
      <c r="B60" s="2422"/>
      <c r="C60" s="2422"/>
      <c r="D60" s="2422"/>
      <c r="E60" s="2170"/>
      <c r="F60" s="2493"/>
      <c r="G60" s="2493"/>
      <c r="H60" s="2501"/>
      <c r="I60" s="138"/>
      <c r="J60" s="3217"/>
      <c r="K60" s="3215"/>
      <c r="L60" s="2494" t="s">
        <v>2232</v>
      </c>
      <c r="M60" s="1761"/>
      <c r="N60" s="2496" t="str">
        <f ca="1">NUMBERSTRING(INT(N59*10000),2)&amp;"元整"</f>
        <v>贰亿贰仟捌佰捌拾柒万元整</v>
      </c>
      <c r="O60" s="2497"/>
    </row>
    <row r="61" spans="1:35" ht="13.5" thickBot="1">
      <c r="A61" s="3162" t="s">
        <v>2236</v>
      </c>
      <c r="B61" s="3162"/>
      <c r="C61" s="3162"/>
      <c r="D61" s="3162"/>
      <c r="E61" s="3162"/>
      <c r="F61" s="2493"/>
      <c r="G61" s="2493"/>
      <c r="H61" s="2501"/>
      <c r="I61" s="138"/>
      <c r="J61" s="1812">
        <f>J59+1</f>
        <v>6</v>
      </c>
      <c r="K61" s="3215" t="s">
        <v>2237</v>
      </c>
      <c r="L61" s="3215"/>
      <c r="M61" s="1764"/>
      <c r="N61" s="1765">
        <f ca="1">ROUND(N59*10000/'数据-汇总表'!E3,0)</f>
        <v>6733</v>
      </c>
      <c r="O61" s="2502"/>
    </row>
    <row r="62" spans="1:35" ht="12.75">
      <c r="A62" s="3178" t="s">
        <v>2238</v>
      </c>
      <c r="B62" s="3179"/>
      <c r="C62" s="1804"/>
      <c r="D62" s="1804" t="s">
        <v>2239</v>
      </c>
      <c r="E62" s="192" t="s">
        <v>2240</v>
      </c>
      <c r="F62" s="2493"/>
      <c r="G62" s="2493"/>
      <c r="H62" s="2501"/>
      <c r="I62" s="138"/>
    </row>
    <row r="63" spans="1:35" ht="12.75">
      <c r="A63" s="203" t="s">
        <v>775</v>
      </c>
      <c r="B63" s="193" t="s">
        <v>2241</v>
      </c>
      <c r="C63" s="194">
        <f ca="1">ROUND((C64+C65)/(1+'数据-取费表'!C42),0)</f>
        <v>50284</v>
      </c>
      <c r="D63" s="195"/>
      <c r="E63" s="196"/>
      <c r="F63" s="2493"/>
      <c r="G63" s="2493"/>
      <c r="H63" s="2501"/>
      <c r="I63" s="138"/>
      <c r="J63" s="3240" t="s">
        <v>2242</v>
      </c>
      <c r="K63" s="2503" t="s">
        <v>2243</v>
      </c>
      <c r="L63" s="1752">
        <f ca="1">IF(M49&gt;10000,M49*0.5%,IF(AND(M49&gt;1000,M49&lt;=10000),M49*1%,IF(AND(M49&gt;100,M49&lt;=1000),M49*3%,IF(AND(M49&gt;10,M49&lt;=100),M49*5%,M49*8%))))</f>
        <v>263.99</v>
      </c>
      <c r="M63" s="24">
        <f ca="1">ROUND(L63,1)</f>
        <v>264</v>
      </c>
      <c r="Z63" s="2427"/>
      <c r="AI63" s="2428"/>
    </row>
    <row r="64" spans="1:35" ht="14.25" customHeight="1">
      <c r="A64" s="197" t="s">
        <v>770</v>
      </c>
      <c r="B64" s="198" t="s">
        <v>2244</v>
      </c>
      <c r="C64" s="199">
        <f ca="1">D45</f>
        <v>52798</v>
      </c>
      <c r="D64" s="200" t="s">
        <v>32</v>
      </c>
      <c r="E64" s="201"/>
      <c r="F64" s="2493"/>
      <c r="G64" s="2493"/>
      <c r="H64" s="2501"/>
      <c r="I64" s="138"/>
      <c r="J64" s="3240"/>
      <c r="K64" s="2503" t="s">
        <v>2245</v>
      </c>
      <c r="L64" s="1752">
        <f ca="1">IF(M49&gt;2000,M49*0.5%,IF(AND(M49&gt;1000,M49&lt;=2000),M49*0.6%,IF(AND(M49&gt;500,M49&lt;=1000),M49*0.7%,IF(AND(M49&gt;200,M49&lt;=500),M49*0.8%,IF(AND(M49&gt;100,M49&lt;=200),M49*0.9%,IF(AND(M49&gt;50,M49&lt;=100),M49*1%,IF(AND(M49&gt;20,M49&lt;=50),M49*1.5%,IF(AND(M49&gt;10,M49&lt;=20),M49*2%,IF(AND(M49&gt;1,M49&lt;=10),M49*2.5%)))))))))</f>
        <v>263.99</v>
      </c>
      <c r="M64" s="24">
        <f t="shared" ref="M64:M65" ca="1" si="1">ROUND(L64,1)</f>
        <v>264</v>
      </c>
      <c r="N64" s="138" t="s">
        <v>2246</v>
      </c>
      <c r="Z64" s="2427"/>
      <c r="AI64" s="2428"/>
    </row>
    <row r="65" spans="1:35" ht="14.25" customHeight="1">
      <c r="A65" s="197" t="s">
        <v>771</v>
      </c>
      <c r="B65" s="198" t="s">
        <v>2247</v>
      </c>
      <c r="C65" s="202"/>
      <c r="D65" s="200"/>
      <c r="E65" s="201"/>
      <c r="F65" s="2493"/>
      <c r="G65" s="2493"/>
      <c r="H65" s="2501"/>
      <c r="I65" s="138"/>
      <c r="J65" s="3240"/>
      <c r="K65" s="2503" t="s">
        <v>2248</v>
      </c>
      <c r="L65" s="1752">
        <f ca="1">IF(M49&gt;1000,M49*0.1%,IF(AND(M49&gt;500,M49&lt;=1000),M49*0.5%,IF(AND(M49&gt;50,M49&lt;=500),M49*1%,IF(AND(M49&gt;1,M49&lt;=50),M49*1.5%))))</f>
        <v>52.798000000000002</v>
      </c>
      <c r="M65" s="24">
        <f t="shared" ca="1" si="1"/>
        <v>52.8</v>
      </c>
      <c r="N65" s="138" t="s">
        <v>2246</v>
      </c>
      <c r="Z65" s="2427"/>
      <c r="AI65" s="2428"/>
    </row>
    <row r="66" spans="1:35" ht="14.25" customHeight="1">
      <c r="A66" s="203" t="s">
        <v>772</v>
      </c>
      <c r="B66" s="204" t="s">
        <v>2249</v>
      </c>
      <c r="C66" s="205"/>
      <c r="D66" s="206" t="s">
        <v>32</v>
      </c>
      <c r="E66" s="1776" t="s">
        <v>1367</v>
      </c>
      <c r="F66" s="2493"/>
      <c r="G66" s="2493"/>
      <c r="H66" s="2501"/>
      <c r="I66" s="138"/>
      <c r="J66" s="3240"/>
      <c r="K66" s="2503" t="s">
        <v>2250</v>
      </c>
      <c r="L66" s="1752">
        <f ca="1">M49*0.5%</f>
        <v>263.99</v>
      </c>
      <c r="M66" s="24">
        <f ca="1">IF(L66&gt;0.5,0.5,ROUND(L66,0))</f>
        <v>0.5</v>
      </c>
      <c r="N66" s="138" t="s">
        <v>2251</v>
      </c>
      <c r="Z66" s="2427"/>
      <c r="AI66" s="2428"/>
    </row>
    <row r="67" spans="1:35" ht="14.25" customHeight="1">
      <c r="A67" s="203" t="s">
        <v>773</v>
      </c>
      <c r="B67" s="204" t="s">
        <v>2252</v>
      </c>
      <c r="C67" s="207">
        <f ca="1">C63-C66</f>
        <v>50284</v>
      </c>
      <c r="D67" s="200" t="s">
        <v>32</v>
      </c>
      <c r="E67" s="201"/>
      <c r="F67" s="2493"/>
      <c r="G67" s="2493"/>
      <c r="H67" s="2501"/>
      <c r="I67" s="138"/>
      <c r="J67" s="3240"/>
      <c r="K67" s="2503" t="s">
        <v>2253</v>
      </c>
      <c r="L67" s="1752">
        <f ca="1">IF(M49&gt;=10000,(8.25+(M49-10000)*0.01%),IF(AND(M49&gt;=8000,M49&lt;10000),(7.85+(M49-8000)*0.02%),IF(AND(M49&gt;=5000,M49&lt;8000),(6.65+(M49-5000)*0.04%),IF(AND(M49&gt;=2000,M49&lt;5000),(4.25+(PM49-2000)*0.08%),IF(AND(M49&gt;=1000,M49&lt;2000),(2.75+(M49-1000)*0.15%),IF(AND(M49&gt;=100,M49&lt;1000),(0.5+(M49-100)*0.25%),IF(AND(M49&gt;0,M49&lt;100),M49*0.5%)))))))</f>
        <v>12.5298</v>
      </c>
      <c r="M67" s="24">
        <f ca="1">ROUND(L67*0.9,1)</f>
        <v>11.3</v>
      </c>
      <c r="Z67" s="2427"/>
      <c r="AI67" s="2428"/>
    </row>
    <row r="68" spans="1:35" ht="14.25" customHeight="1" thickBot="1">
      <c r="A68" s="208" t="s">
        <v>774</v>
      </c>
      <c r="B68" s="209" t="s">
        <v>2254</v>
      </c>
      <c r="C68" s="210">
        <f ca="1">IF(C67&lt;=0,0,ROUND(C67*D68,0))</f>
        <v>2816</v>
      </c>
      <c r="D68" s="211">
        <f>'数据-取费表'!B41</f>
        <v>5.6000000000000001E-2</v>
      </c>
      <c r="E68" s="212"/>
      <c r="F68" s="2493"/>
      <c r="G68" s="2493"/>
      <c r="H68" s="2501"/>
      <c r="I68" s="138"/>
      <c r="J68" s="3240"/>
      <c r="K68" s="2503" t="s">
        <v>2255</v>
      </c>
      <c r="L68" s="1752">
        <f ca="1">IF(M49&gt;10000,M49*0.5%,IF(AND(M49&gt;5000,M49&lt;=10000),M49*1%,IF(AND(M49&gt;1000,M49&lt;=5000),M49*2%,IF(AND(M49&gt;200,M49&lt;=1000),M49*3%,M49*5%))))</f>
        <v>263.99</v>
      </c>
      <c r="M68" s="24">
        <f ca="1">ROUND(L68,1)</f>
        <v>264</v>
      </c>
      <c r="Z68" s="2427"/>
      <c r="AI68" s="2428"/>
    </row>
    <row r="69" spans="1:35" s="2450" customFormat="1" ht="16.5" customHeight="1">
      <c r="A69" s="2504"/>
      <c r="B69" s="2505"/>
      <c r="C69" s="2506"/>
      <c r="D69" s="2507"/>
      <c r="E69" s="2508"/>
      <c r="F69" s="2170"/>
      <c r="G69" s="2170"/>
      <c r="H69" s="2169"/>
      <c r="I69" s="2422"/>
      <c r="J69" s="3240"/>
      <c r="K69" s="2503" t="s">
        <v>2256</v>
      </c>
      <c r="L69" s="2509"/>
      <c r="M69" s="24">
        <f ca="1">ROUND(SUM(M63:M68),0)</f>
        <v>857</v>
      </c>
      <c r="N69" s="1753">
        <f ca="1">M69/M49</f>
        <v>1.6231675442251601E-2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99" t="s">
        <v>2257</v>
      </c>
      <c r="B70" s="3200"/>
      <c r="C70" s="3200"/>
      <c r="D70" s="3200"/>
      <c r="E70" s="3200"/>
      <c r="F70" s="3200"/>
      <c r="G70" s="3200"/>
      <c r="H70" s="320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78" t="s">
        <v>2238</v>
      </c>
      <c r="B71" s="3179"/>
      <c r="C71" s="1804"/>
      <c r="D71" s="1804"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50284</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302</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73" t="s">
        <v>2266</v>
      </c>
      <c r="F76" s="3150"/>
      <c r="G76" s="3150"/>
      <c r="H76" s="319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15" t="s">
        <v>2268</v>
      </c>
      <c r="F77" s="224"/>
      <c r="G77" s="2517" t="s">
        <v>2269</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302</v>
      </c>
      <c r="D78" s="226">
        <f>'数据-取费表'!B43</f>
        <v>6.000000000000001E-3</v>
      </c>
      <c r="E78" s="3159" t="s">
        <v>2271</v>
      </c>
      <c r="F78" s="3160"/>
      <c r="G78" s="3160"/>
      <c r="H78" s="316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2272</v>
      </c>
      <c r="C79" s="207">
        <f ca="1">C72-C73</f>
        <v>49982</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165.50331125827816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29884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99" t="s">
        <v>2275</v>
      </c>
      <c r="B83" s="3200"/>
      <c r="C83" s="3200"/>
      <c r="D83" s="3200"/>
      <c r="E83" s="3200"/>
      <c r="F83" s="3200"/>
      <c r="G83" s="3200"/>
      <c r="H83" s="320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78" t="s">
        <v>2238</v>
      </c>
      <c r="B84" s="3179"/>
      <c r="C84" s="1804"/>
      <c r="D84" s="1804"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50284</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302</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1800"/>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59" t="s">
        <v>2284</v>
      </c>
      <c r="F91" s="3160"/>
      <c r="G91" s="3160"/>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59" t="s">
        <v>2288</v>
      </c>
      <c r="F92" s="3160"/>
      <c r="G92" s="3160"/>
      <c r="H92" s="316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302</v>
      </c>
      <c r="D93" s="226">
        <f>'数据-取费表'!B43</f>
        <v>6.000000000000001E-3</v>
      </c>
      <c r="E93" s="3159" t="s">
        <v>2271</v>
      </c>
      <c r="F93" s="3160"/>
      <c r="G93" s="3160"/>
      <c r="H93" s="316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70" t="s">
        <v>2292</v>
      </c>
      <c r="F94" s="3171"/>
      <c r="G94" s="3171"/>
      <c r="H94" s="317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2272</v>
      </c>
      <c r="C95" s="207">
        <f ca="1">ROUND(C85-C86,0)</f>
        <v>49982</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165.50331125827816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29884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0" t="s">
        <v>2294</v>
      </c>
      <c r="B100" s="3121"/>
      <c r="C100" s="3121"/>
      <c r="D100" s="3161"/>
      <c r="E100" s="3121" t="s">
        <v>2295</v>
      </c>
      <c r="F100" s="3121"/>
      <c r="G100" s="3121"/>
      <c r="H100" s="3161"/>
      <c r="I100" s="138"/>
    </row>
    <row r="101" spans="1:35" ht="18.75" customHeight="1">
      <c r="A101" s="3223" t="s">
        <v>2296</v>
      </c>
      <c r="B101" s="3224"/>
      <c r="C101" s="736" t="str">
        <f>C4</f>
        <v>典型户型修正</v>
      </c>
      <c r="D101" s="737" t="str">
        <f>D4</f>
        <v>收益法</v>
      </c>
      <c r="E101" s="3237" t="s">
        <v>2297</v>
      </c>
      <c r="F101" s="3191"/>
      <c r="G101" s="2524" t="s">
        <v>2298</v>
      </c>
      <c r="H101" s="1048">
        <f ca="1">H118</f>
        <v>52798</v>
      </c>
      <c r="I101" s="138"/>
    </row>
    <row r="102" spans="1:35" ht="18.75" customHeight="1">
      <c r="A102" s="3193" t="s">
        <v>2299</v>
      </c>
      <c r="B102" s="2524" t="s">
        <v>2298</v>
      </c>
      <c r="C102" s="736">
        <f ca="1">C19</f>
        <v>64783</v>
      </c>
      <c r="D102" s="737">
        <f ca="1">D19</f>
        <v>24834</v>
      </c>
      <c r="E102" s="3237"/>
      <c r="F102" s="3191"/>
      <c r="G102" s="2524" t="s">
        <v>2300</v>
      </c>
      <c r="H102" s="371">
        <f ca="1">I118</f>
        <v>17116</v>
      </c>
      <c r="I102" s="138"/>
    </row>
    <row r="103" spans="1:35" ht="42.75" customHeight="1">
      <c r="A103" s="3193"/>
      <c r="B103" s="2524" t="s">
        <v>2300</v>
      </c>
      <c r="C103" s="738">
        <f ca="1">C20</f>
        <v>22073</v>
      </c>
      <c r="D103" s="739">
        <f ca="1">D20</f>
        <v>8051</v>
      </c>
      <c r="E103" s="3232" t="s">
        <v>2301</v>
      </c>
      <c r="F103" s="3233"/>
      <c r="G103" s="2525" t="s">
        <v>2302</v>
      </c>
      <c r="H103" s="1048">
        <f>IF(D36="正常操作",H104+H105+H106,H105+H106)</f>
        <v>0</v>
      </c>
      <c r="I103" s="138"/>
    </row>
    <row r="104" spans="1:35" ht="18.75" customHeight="1">
      <c r="A104" s="3193" t="s">
        <v>2303</v>
      </c>
      <c r="B104" s="2526" t="s">
        <v>2298</v>
      </c>
      <c r="C104" s="740">
        <f ca="1">H118</f>
        <v>52798</v>
      </c>
      <c r="D104" s="741"/>
      <c r="E104" s="2270" t="s">
        <v>2304</v>
      </c>
      <c r="F104" s="2262"/>
      <c r="G104" s="2525" t="s">
        <v>2302</v>
      </c>
      <c r="H104" s="1049">
        <f>IF(D36="同一抵押权人同一抵押物续贷",C36&amp;"（未扣减，详见特别提示）",C36)</f>
        <v>0</v>
      </c>
      <c r="I104" s="138"/>
    </row>
    <row r="105" spans="1:35" ht="18.75" customHeight="1" thickBot="1">
      <c r="A105" s="3194"/>
      <c r="B105" s="2527" t="s">
        <v>2300</v>
      </c>
      <c r="C105" s="742">
        <f ca="1">I118</f>
        <v>17116</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0" t="str">
        <f>IF(项目基本情况!E8="已注销","——","3.房地产抵押价值")</f>
        <v>3.房地产抵押价值</v>
      </c>
      <c r="F107" s="3191"/>
      <c r="G107" s="2524" t="s">
        <v>2298</v>
      </c>
      <c r="H107" s="1048">
        <f ca="1">IF(E107="——","——",H101-H103)</f>
        <v>52798</v>
      </c>
      <c r="I107" s="138"/>
    </row>
    <row r="108" spans="1:35" ht="18.75" customHeight="1">
      <c r="A108" s="138"/>
      <c r="B108" s="138"/>
      <c r="C108" s="138"/>
      <c r="D108" s="138"/>
      <c r="E108" s="3190"/>
      <c r="F108" s="3191"/>
      <c r="G108" s="2524" t="s">
        <v>2300</v>
      </c>
      <c r="H108" s="371">
        <f ca="1">ROUND(H107*10000/'数据-汇总表'!E3,0)</f>
        <v>15533</v>
      </c>
      <c r="I108" s="138"/>
    </row>
    <row r="109" spans="1:35" ht="18.75" customHeight="1">
      <c r="A109" s="138"/>
      <c r="B109" s="138"/>
      <c r="C109" s="138"/>
      <c r="D109" s="138"/>
      <c r="E109" s="3190" t="str">
        <f>IF(项目基本情况!E8="已注销及未注销","4.抵押担保权已注销时的房地产抵押价值",IF(项目基本情况!E8="已注销","3.抵押担保权已注销时的房地产抵押价值","——"))</f>
        <v>——</v>
      </c>
      <c r="F109" s="3191"/>
      <c r="G109" s="2524" t="s">
        <v>2298</v>
      </c>
      <c r="H109" s="348" t="str">
        <f>IF(E109="——","——",H101-H105-H106)</f>
        <v>——</v>
      </c>
      <c r="I109" s="138"/>
    </row>
    <row r="110" spans="1:35" ht="18.75" customHeight="1">
      <c r="A110" s="138"/>
      <c r="B110" s="138"/>
      <c r="C110" s="138"/>
      <c r="D110" s="138"/>
      <c r="E110" s="3190"/>
      <c r="F110" s="3191"/>
      <c r="G110" s="2524" t="s">
        <v>2300</v>
      </c>
      <c r="H110" s="371" t="str">
        <f>IF(H109="——","——",ROUND(H109*10000/'数据-汇总表'!E3,0))</f>
        <v>——</v>
      </c>
      <c r="I110" s="138"/>
    </row>
    <row r="111" spans="1:35" ht="18.75" customHeight="1">
      <c r="A111" s="138"/>
      <c r="B111" s="138"/>
      <c r="C111" s="138"/>
      <c r="D111" s="138"/>
      <c r="E111" s="3225" t="str">
        <f>IF(项目基本情况!E9="抵押净值",IF(OR(项目基本情况!E8="已注销",项目基本情况!E8="房地产抵押价值"),"4.抵押净值","5.抵押净值"),"——")</f>
        <v>——</v>
      </c>
      <c r="F111" s="3226"/>
      <c r="G111" s="2524" t="s">
        <v>2298</v>
      </c>
      <c r="H111" s="1048" t="str">
        <f>IF(E111="——","——",N59)</f>
        <v>——</v>
      </c>
      <c r="I111" s="138"/>
    </row>
    <row r="112" spans="1:35" ht="18.75" customHeight="1" thickBot="1">
      <c r="A112" s="138"/>
      <c r="B112" s="138"/>
      <c r="C112" s="138"/>
      <c r="D112" s="138"/>
      <c r="E112" s="3227"/>
      <c r="F112" s="3228"/>
      <c r="G112" s="2529" t="s">
        <v>2300</v>
      </c>
      <c r="H112" s="790" t="str">
        <f>IF(E111="——","——",N61)</f>
        <v>——</v>
      </c>
      <c r="I112" s="138"/>
    </row>
    <row r="113" spans="1:11" ht="18.75" customHeight="1">
      <c r="A113" s="138"/>
      <c r="B113" s="138"/>
      <c r="C113" s="138"/>
      <c r="D113" s="138"/>
      <c r="E113" s="3195" t="s">
        <v>2306</v>
      </c>
      <c r="F113" s="3195"/>
      <c r="G113" s="3195"/>
      <c r="H113" s="3195"/>
      <c r="I113" s="138"/>
    </row>
    <row r="114" spans="1:11" ht="3.75" customHeight="1">
      <c r="A114" s="2422"/>
      <c r="B114" s="2422"/>
      <c r="C114" s="2422"/>
      <c r="D114" s="2422"/>
      <c r="E114" s="2500"/>
      <c r="F114" s="2500"/>
      <c r="G114" s="2500"/>
      <c r="H114" s="2500"/>
      <c r="I114" s="2422"/>
    </row>
    <row r="115" spans="1:11" ht="18.75" customHeight="1">
      <c r="A115" s="3208" t="s">
        <v>2308</v>
      </c>
      <c r="B115" s="3209"/>
      <c r="C115" s="3209"/>
      <c r="D115" s="3209"/>
      <c r="E115" s="3209"/>
      <c r="F115" s="3209"/>
      <c r="G115" s="3209"/>
      <c r="H115" s="3209"/>
      <c r="I115" s="3210"/>
    </row>
    <row r="116" spans="1:11" ht="27" customHeight="1">
      <c r="A116" s="3077" t="s">
        <v>2309</v>
      </c>
      <c r="B116" s="3196" t="s">
        <v>2310</v>
      </c>
      <c r="C116" s="3196" t="s">
        <v>2311</v>
      </c>
      <c r="D116" s="3212" t="s">
        <v>2312</v>
      </c>
      <c r="E116" s="3213"/>
      <c r="F116" s="3204" t="s">
        <v>2313</v>
      </c>
      <c r="G116" s="3204"/>
      <c r="H116" s="3077" t="s">
        <v>2314</v>
      </c>
      <c r="I116" s="3077"/>
    </row>
    <row r="117" spans="1:11" ht="18.75" customHeight="1">
      <c r="A117" s="3077"/>
      <c r="B117" s="3197"/>
      <c r="C117" s="3197"/>
      <c r="D117" s="1798" t="s">
        <v>2315</v>
      </c>
      <c r="E117" s="1798" t="s">
        <v>2316</v>
      </c>
      <c r="F117" s="1798" t="s">
        <v>2315</v>
      </c>
      <c r="G117" s="1798" t="s">
        <v>2317</v>
      </c>
      <c r="H117" s="1798" t="s">
        <v>2315</v>
      </c>
      <c r="I117" s="1798" t="s">
        <v>2317</v>
      </c>
    </row>
    <row r="118" spans="1:11" ht="24.75" customHeight="1">
      <c r="A118" s="2530" t="str">
        <f>项目基本情况!S2</f>
        <v>房地产</v>
      </c>
      <c r="B118" s="1798">
        <f>M18</f>
        <v>30847.029999999995</v>
      </c>
      <c r="C118" s="1798">
        <f>M19</f>
        <v>3595.22</v>
      </c>
      <c r="D118" s="1798">
        <f ca="1">ROUND(IF(D32="总价",C34,E118*B118/10000),0)</f>
        <v>24129</v>
      </c>
      <c r="E118" s="1798">
        <f ca="1">ROUND(IF(C33="自定义",IF(D32="楼面单价",C34,D118*10000/B118),I118-G118),0)</f>
        <v>7822</v>
      </c>
      <c r="F118" s="1798">
        <f ca="1">ROUND(IF(D32="总价",C35,G118*B118/10000),0)</f>
        <v>28669</v>
      </c>
      <c r="G118" s="1798">
        <f ca="1">ROUND(IF(D32="楼面单价",C35,F118*10000/B118),0)</f>
        <v>9294</v>
      </c>
      <c r="H118" s="1798">
        <f ca="1">ROUND(IF(D32="总价",C32,I118*B118/10000),0)</f>
        <v>52798</v>
      </c>
      <c r="I118" s="1798">
        <f ca="1">ROUND(IF(D32="楼面单价",C32,H118*10000/B118),0)</f>
        <v>17116</v>
      </c>
    </row>
    <row r="119" spans="1:11" ht="18.75" customHeight="1">
      <c r="A119" s="3077" t="s">
        <v>2318</v>
      </c>
      <c r="B119" s="3077"/>
      <c r="C119" s="3077"/>
      <c r="D119" s="3201" t="str">
        <f ca="1">NUMBERSTRING(INT(D118*10000),2)&amp;"元整"</f>
        <v>贰亿肆仟壹佰贰拾玖万元整</v>
      </c>
      <c r="E119" s="3203"/>
      <c r="F119" s="3201" t="str">
        <f ca="1">NUMBERSTRING(INT(F118*10000),2)&amp;"元整"</f>
        <v>贰亿捌仟陆佰陆拾玖万元整</v>
      </c>
      <c r="G119" s="3203"/>
      <c r="H119" s="3201" t="str">
        <f ca="1">NUMBERSTRING(INT(H118*10000),2)&amp;"元整"</f>
        <v>伍亿贰仟柒佰玖拾捌万元整</v>
      </c>
      <c r="I119" s="3203"/>
    </row>
    <row r="120" spans="1:11" ht="18.75" customHeight="1">
      <c r="A120" s="3229" t="str">
        <f>IF(项目基本情况!B9="房地产市场价值","",MID(E103,3,LEN(E103)-2))</f>
        <v>估价师知悉的法定优先受偿款</v>
      </c>
      <c r="B120" s="3230"/>
      <c r="C120" s="3231"/>
      <c r="D120" s="3229">
        <f>H103</f>
        <v>0</v>
      </c>
      <c r="E120" s="3230"/>
      <c r="F120" s="3230"/>
      <c r="G120" s="3230"/>
      <c r="H120" s="3230"/>
      <c r="I120" s="3231"/>
      <c r="K120" s="2427" t="str">
        <f>IF(D120=0,"故，本次评估不存在"&amp;A120,"故，本次评估"&amp;A120&amp;"为人民币"&amp;D120&amp;"万元整。")</f>
        <v>故，本次评估不存在估价师知悉的法定优先受偿款</v>
      </c>
    </row>
    <row r="121" spans="1:11" ht="18.75" customHeight="1">
      <c r="A121" s="3205" t="s">
        <v>2318</v>
      </c>
      <c r="B121" s="3206"/>
      <c r="C121" s="3207"/>
      <c r="D121" s="3201" t="str">
        <f>IF(D120=0,"零元整",NUMBERSTRING(INT(D120*10000),2)&amp;"元整")</f>
        <v>零元整</v>
      </c>
      <c r="E121" s="3202"/>
      <c r="F121" s="3202"/>
      <c r="G121" s="3202"/>
      <c r="H121" s="3202"/>
      <c r="I121" s="3203"/>
    </row>
    <row r="122" spans="1:11" ht="18.75" customHeight="1">
      <c r="A122" s="3192" t="str">
        <f>IF(项目基本情况!B9="房地产市场价值","",MID(E107,3,LEN(E107)-2))</f>
        <v>房地产抵押价值</v>
      </c>
      <c r="B122" s="3192"/>
      <c r="C122" s="3192"/>
      <c r="D122" s="3229">
        <f ca="1">H107</f>
        <v>52798</v>
      </c>
      <c r="E122" s="3230"/>
      <c r="F122" s="3230"/>
      <c r="G122" s="3230"/>
      <c r="H122" s="3230"/>
      <c r="I122" s="3231"/>
    </row>
    <row r="123" spans="1:11" ht="18.75" customHeight="1">
      <c r="A123" s="3077" t="s">
        <v>2318</v>
      </c>
      <c r="B123" s="3077"/>
      <c r="C123" s="3077"/>
      <c r="D123" s="3201" t="str">
        <f ca="1">NUMBERSTRING(INT(D122*10000),2)&amp;"元整"</f>
        <v>伍亿贰仟柒佰玖拾捌万元整</v>
      </c>
      <c r="E123" s="3202"/>
      <c r="F123" s="3202"/>
      <c r="G123" s="3202"/>
      <c r="H123" s="3202"/>
      <c r="I123" s="3203"/>
    </row>
    <row r="124" spans="1:11" ht="18.75" customHeight="1">
      <c r="A124" s="3192" t="str">
        <f>IF(项目基本情况!B9="房地产市场价值","",MID(E109,3,LEN(E109)-2))</f>
        <v/>
      </c>
      <c r="B124" s="3192"/>
      <c r="C124" s="3192"/>
      <c r="D124" s="3229" t="str">
        <f>H109</f>
        <v>——</v>
      </c>
      <c r="E124" s="3230"/>
      <c r="F124" s="3230"/>
      <c r="G124" s="3230"/>
      <c r="H124" s="3230"/>
      <c r="I124" s="3231"/>
    </row>
    <row r="125" spans="1:11" ht="18.75" customHeight="1">
      <c r="A125" s="3077" t="s">
        <v>2318</v>
      </c>
      <c r="B125" s="3077"/>
      <c r="C125" s="3077"/>
      <c r="D125" s="3201" t="e">
        <f>NUMBERSTRING(INT(D124*10000),2)&amp;"元整"</f>
        <v>#VALUE!</v>
      </c>
      <c r="E125" s="3202"/>
      <c r="F125" s="3202"/>
      <c r="G125" s="3202"/>
      <c r="H125" s="3202"/>
      <c r="I125" s="3203"/>
    </row>
    <row r="126" spans="1:11" ht="18.75" customHeight="1">
      <c r="A126" s="3192" t="str">
        <f>IF(项目基本情况!B9="房地产市场价值","",MID(E111,3,LEN(E111)-2))</f>
        <v/>
      </c>
      <c r="B126" s="3192"/>
      <c r="C126" s="3192"/>
      <c r="D126" s="3229" t="str">
        <f>H111</f>
        <v>——</v>
      </c>
      <c r="E126" s="3230"/>
      <c r="F126" s="3230"/>
      <c r="G126" s="3230"/>
      <c r="H126" s="3230"/>
      <c r="I126" s="3231"/>
    </row>
    <row r="127" spans="1:11" ht="18.75" customHeight="1">
      <c r="A127" s="3077" t="s">
        <v>2318</v>
      </c>
      <c r="B127" s="3077"/>
      <c r="C127" s="3077"/>
      <c r="D127" s="3201" t="e">
        <f>NUMBERSTRING(INT(D126*10000),2)&amp;"元整"</f>
        <v>#VALUE!</v>
      </c>
      <c r="E127" s="3202"/>
      <c r="F127" s="3202"/>
      <c r="G127" s="3202"/>
      <c r="H127" s="3202"/>
      <c r="I127" s="3203"/>
    </row>
    <row r="128" spans="1:11" ht="21.75" customHeight="1">
      <c r="A128" s="3211" t="s">
        <v>2319</v>
      </c>
      <c r="B128" s="3211"/>
      <c r="C128" s="3211"/>
      <c r="D128" s="3211"/>
      <c r="E128" s="3211"/>
      <c r="F128" s="3211"/>
      <c r="G128" s="3211"/>
      <c r="H128" s="3211"/>
      <c r="I128" s="3211"/>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3" t="str">
        <f>项目基本情况!B1</f>
        <v>房地产抵押价值预评估</v>
      </c>
      <c r="C37" s="3033"/>
      <c r="D37" s="3033"/>
      <c r="E37" s="3033"/>
      <c r="F37" s="3033"/>
      <c r="G37" s="3033"/>
      <c r="H37" s="3033"/>
      <c r="I37" s="303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9" sqref="G3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27</v>
      </c>
      <c r="D1" s="2422"/>
      <c r="E1" s="2422"/>
      <c r="F1" s="2424" t="s">
        <v>2119</v>
      </c>
      <c r="G1" s="2074" t="s">
        <v>3248</v>
      </c>
      <c r="H1" s="2425" t="str">
        <f>IF(G1="现房","——","估价对象范围")</f>
        <v>——</v>
      </c>
      <c r="I1" s="2426"/>
    </row>
    <row r="2" spans="1:12" ht="21.75" customHeight="1" thickBot="1">
      <c r="A2" s="3183" t="str">
        <f>项目基本情况!S2</f>
        <v>房地产</v>
      </c>
      <c r="B2" s="3184"/>
      <c r="C2" s="3184"/>
      <c r="D2" s="3184"/>
      <c r="E2" s="3184"/>
      <c r="F2" s="3184"/>
      <c r="G2" s="3184"/>
      <c r="H2" s="3184"/>
      <c r="I2" s="3185"/>
    </row>
    <row r="3" spans="1:12" ht="12.75">
      <c r="A3" s="3187" t="s">
        <v>2120</v>
      </c>
      <c r="B3" s="3188"/>
      <c r="C3" s="3188"/>
      <c r="D3" s="3188"/>
      <c r="E3" s="3188"/>
      <c r="F3" s="3188"/>
      <c r="G3" s="3188"/>
      <c r="H3" s="3188"/>
      <c r="I3" s="3188"/>
    </row>
    <row r="4" spans="1:12" ht="14.25">
      <c r="A4" s="2429" t="s">
        <v>2121</v>
      </c>
      <c r="B4" s="2430" t="s">
        <v>2122</v>
      </c>
      <c r="C4" s="2431" t="s">
        <v>3264</v>
      </c>
      <c r="D4" s="2431" t="s">
        <v>3253</v>
      </c>
      <c r="E4" s="3180" t="s">
        <v>2123</v>
      </c>
      <c r="F4" s="3181"/>
      <c r="G4" s="3181"/>
      <c r="H4" s="3181"/>
      <c r="I4" s="3189"/>
      <c r="K4" s="2432" t="str">
        <f>IF(ISNUMBER(FIND("比较法",'结果表-办公'!C4)),"比较法",IF(ISNUMBER(FIND("成本法",'结果表-办公'!C4)),"成本法",IF(ISNUMBER(FIND("假设开发法",'结果表-办公'!C4)),"假设开发法",IF(ISNUMBER(FIND("收益法",'结果表-办公'!C4)),"收益法","基准地价系数修正法"))))</f>
        <v>比较法</v>
      </c>
      <c r="L4" s="243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63" t="s">
        <v>2124</v>
      </c>
      <c r="B5" s="3077">
        <v>25</v>
      </c>
      <c r="C5" s="3166"/>
      <c r="D5" s="3186"/>
      <c r="E5" s="140" t="s">
        <v>2125</v>
      </c>
      <c r="F5" s="2433"/>
      <c r="G5" s="2433"/>
      <c r="H5" s="2433"/>
      <c r="I5" s="1834"/>
    </row>
    <row r="6" spans="1:12" ht="12.75">
      <c r="A6" s="3163"/>
      <c r="B6" s="3077"/>
      <c r="C6" s="3167"/>
      <c r="D6" s="3186"/>
      <c r="E6" s="140" t="s">
        <v>2126</v>
      </c>
      <c r="F6" s="2433"/>
      <c r="G6" s="2433"/>
      <c r="H6" s="2433"/>
      <c r="I6" s="1834"/>
    </row>
    <row r="7" spans="1:12" ht="12.75">
      <c r="A7" s="3163"/>
      <c r="B7" s="3077"/>
      <c r="C7" s="3168"/>
      <c r="D7" s="3186"/>
      <c r="E7" s="140" t="s">
        <v>2127</v>
      </c>
      <c r="F7" s="2433"/>
      <c r="G7" s="2433"/>
      <c r="H7" s="2433"/>
      <c r="I7" s="1834"/>
    </row>
    <row r="8" spans="1:12" ht="12.75">
      <c r="A8" s="3163" t="s">
        <v>2128</v>
      </c>
      <c r="B8" s="3077">
        <v>15</v>
      </c>
      <c r="C8" s="3166"/>
      <c r="D8" s="3186"/>
      <c r="E8" s="140" t="s">
        <v>2129</v>
      </c>
      <c r="F8" s="2433"/>
      <c r="G8" s="2433"/>
      <c r="H8" s="2433"/>
      <c r="I8" s="1834"/>
    </row>
    <row r="9" spans="1:12" ht="12.75">
      <c r="A9" s="3163"/>
      <c r="B9" s="3077"/>
      <c r="C9" s="3168"/>
      <c r="D9" s="3186"/>
      <c r="E9" s="140" t="s">
        <v>2130</v>
      </c>
      <c r="F9" s="2433"/>
      <c r="G9" s="2433"/>
      <c r="H9" s="2433"/>
      <c r="I9" s="1834"/>
    </row>
    <row r="10" spans="1:12" ht="12.75">
      <c r="A10" s="3163" t="s">
        <v>2131</v>
      </c>
      <c r="B10" s="3077">
        <v>15</v>
      </c>
      <c r="C10" s="3166"/>
      <c r="D10" s="3186"/>
      <c r="E10" s="140" t="s">
        <v>2132</v>
      </c>
      <c r="F10" s="2433"/>
      <c r="G10" s="2433"/>
      <c r="H10" s="2433"/>
      <c r="I10" s="1834"/>
    </row>
    <row r="11" spans="1:12" ht="12.75">
      <c r="A11" s="3163"/>
      <c r="B11" s="3077"/>
      <c r="C11" s="3168"/>
      <c r="D11" s="3186"/>
      <c r="E11" s="140" t="s">
        <v>2133</v>
      </c>
      <c r="F11" s="2433"/>
      <c r="G11" s="2433"/>
      <c r="H11" s="2433"/>
      <c r="I11" s="1834"/>
    </row>
    <row r="12" spans="1:12" ht="12.75">
      <c r="A12" s="3163" t="s">
        <v>2134</v>
      </c>
      <c r="B12" s="3077">
        <v>15</v>
      </c>
      <c r="C12" s="3166"/>
      <c r="D12" s="3186"/>
      <c r="E12" s="140" t="s">
        <v>2135</v>
      </c>
      <c r="F12" s="2433"/>
      <c r="G12" s="2433"/>
      <c r="H12" s="2433"/>
      <c r="I12" s="1834"/>
    </row>
    <row r="13" spans="1:12" ht="12.75">
      <c r="A13" s="3163"/>
      <c r="B13" s="3077"/>
      <c r="C13" s="3168"/>
      <c r="D13" s="3186"/>
      <c r="E13" s="140" t="s">
        <v>2136</v>
      </c>
      <c r="F13" s="2433"/>
      <c r="G13" s="2433"/>
      <c r="H13" s="2433"/>
      <c r="I13" s="1834"/>
    </row>
    <row r="14" spans="1:12" ht="12.75">
      <c r="A14" s="3163" t="s">
        <v>2137</v>
      </c>
      <c r="B14" s="3077">
        <v>30</v>
      </c>
      <c r="C14" s="3166">
        <v>5</v>
      </c>
      <c r="D14" s="3186">
        <v>5</v>
      </c>
      <c r="E14" s="140" t="s">
        <v>2138</v>
      </c>
      <c r="F14" s="2433"/>
      <c r="G14" s="2433"/>
      <c r="H14" s="2433"/>
      <c r="I14" s="1834"/>
    </row>
    <row r="15" spans="1:12" ht="12.75">
      <c r="A15" s="3163"/>
      <c r="B15" s="3077"/>
      <c r="C15" s="3167"/>
      <c r="D15" s="3186"/>
      <c r="E15" s="140" t="s">
        <v>2139</v>
      </c>
      <c r="F15" s="2433"/>
      <c r="G15" s="2433"/>
      <c r="H15" s="2433"/>
      <c r="I15" s="1834"/>
    </row>
    <row r="16" spans="1:12" ht="12.75">
      <c r="A16" s="3163"/>
      <c r="B16" s="3077"/>
      <c r="C16" s="3168"/>
      <c r="D16" s="3186"/>
      <c r="E16" s="140" t="s">
        <v>2140</v>
      </c>
      <c r="F16" s="2433"/>
      <c r="G16" s="2433"/>
      <c r="H16" s="2433"/>
      <c r="I16" s="1834"/>
    </row>
    <row r="17" spans="1:35" ht="15">
      <c r="A17" s="2434" t="s">
        <v>2141</v>
      </c>
      <c r="B17" s="64"/>
      <c r="C17" s="141">
        <f>SUM(C5:C16)</f>
        <v>5</v>
      </c>
      <c r="D17" s="141">
        <f>SUM(D5:D16)</f>
        <v>5</v>
      </c>
      <c r="E17" s="138"/>
      <c r="F17" s="138"/>
      <c r="G17" s="138"/>
      <c r="H17" s="138"/>
      <c r="I17" s="138"/>
      <c r="K17" s="2432"/>
      <c r="L17" s="2435" t="s">
        <v>2142</v>
      </c>
      <c r="M17" s="2435" t="s">
        <v>2143</v>
      </c>
    </row>
    <row r="18" spans="1:35" ht="15.75" thickBot="1">
      <c r="A18" s="2436" t="s">
        <v>2144</v>
      </c>
      <c r="B18" s="2437"/>
      <c r="C18" s="142">
        <f>ROUND(C17/SUM(C17:D17),2)</f>
        <v>0.5</v>
      </c>
      <c r="D18" s="142">
        <f>1-C18</f>
        <v>0.5</v>
      </c>
      <c r="E18" s="138"/>
      <c r="F18" s="138"/>
      <c r="G18" s="138"/>
      <c r="H18" s="138"/>
      <c r="I18" s="138"/>
      <c r="K18" s="2432" t="s">
        <v>2145</v>
      </c>
      <c r="L18" s="2432">
        <f>IF(C1="",'数据-汇总表'!E3,SUMIF(项目类型,C1,'数据-汇总表'!E17:E26)+SUMIF(项目类型,C1,'数据-汇总表'!I17:I26))</f>
        <v>3144.8900000000003</v>
      </c>
      <c r="M18" s="2432">
        <f>IF(C1="",'数据-汇总表'!E3,SUMIF(项目类型,C1,'数据-汇总表'!E17:E26))</f>
        <v>3144.8900000000003</v>
      </c>
    </row>
    <row r="19" spans="1:35" ht="15">
      <c r="A19" s="2438" t="s">
        <v>2146</v>
      </c>
      <c r="B19" s="2439" t="s">
        <v>2147</v>
      </c>
      <c r="C19" s="143">
        <f ca="1">SUMIF(INDIRECT("'"&amp;C4&amp;"'"&amp;"!A:A"),'结果表-办公'!B19,INDIRECT("'"&amp;C4&amp;"'"&amp;"!B:B"))</f>
        <v>3313</v>
      </c>
      <c r="D19" s="144">
        <f ca="1">SUMIF(INDIRECT("'"&amp;D4&amp;"'"&amp;"!A:A"),'结果表-办公'!B19,INDIRECT("'"&amp;D4&amp;"'"&amp;"!B:B"))</f>
        <v>3102</v>
      </c>
      <c r="E19" s="2438" t="s">
        <v>2148</v>
      </c>
      <c r="F19" s="2439" t="s">
        <v>2147</v>
      </c>
      <c r="G19" s="145">
        <f ca="1">ROUND(C19*$C$18+D19*$D$18,0)</f>
        <v>3208</v>
      </c>
      <c r="H19" s="2440" t="s">
        <v>2149</v>
      </c>
      <c r="I19" s="138"/>
      <c r="K19" s="2432" t="s">
        <v>2150</v>
      </c>
      <c r="L19" s="2432">
        <f>IF(C1="",'数据-汇总表'!D3,SUMIF(项目类型,C1,'数据-汇总表'!D17:D26)+SUMIF(项目类型,C1,'数据-汇总表'!H17:H27))</f>
        <v>366.54</v>
      </c>
      <c r="M19" s="2432">
        <f>IF(C1="",'数据-汇总表'!D3,SUMIF(项目类型,C1,'数据-汇总表'!D17:D26))</f>
        <v>366.54</v>
      </c>
    </row>
    <row r="20" spans="1:35" ht="15">
      <c r="A20" s="2441"/>
      <c r="B20" s="1250" t="s">
        <v>2151</v>
      </c>
      <c r="C20" s="146">
        <f ca="1">SUMIF(INDIRECT("'"&amp;C4&amp;"'"&amp;"!A:A"),'结果表-办公'!B20,INDIRECT("'"&amp;C4&amp;"'"&amp;"!B:B"))</f>
        <v>10533</v>
      </c>
      <c r="D20" s="147">
        <f ca="1">SUMIF(INDIRECT("'"&amp;D4&amp;"'"&amp;"!A:A"),'结果表-办公'!B20,INDIRECT("'"&amp;D4&amp;"'"&amp;"!B:B"))</f>
        <v>9864</v>
      </c>
      <c r="E20" s="2441"/>
      <c r="F20" s="1250" t="s">
        <v>2151</v>
      </c>
      <c r="G20" s="148">
        <f ca="1">ROUND(C20*$C$18+D20*$D$18,0)</f>
        <v>10199</v>
      </c>
      <c r="H20" s="983" t="s">
        <v>2152</v>
      </c>
      <c r="I20" s="138"/>
    </row>
    <row r="21" spans="1:35" ht="15" customHeight="1" thickBot="1">
      <c r="A21" s="1003"/>
      <c r="B21" s="2442" t="s">
        <v>2153</v>
      </c>
      <c r="C21" s="789">
        <f ca="1">ROUND(C19*10000/L19,0)</f>
        <v>90386</v>
      </c>
      <c r="D21" s="790">
        <f ca="1">ROUND(D19*10000/L19,0)</f>
        <v>84629</v>
      </c>
      <c r="E21" s="1003"/>
      <c r="F21" s="2442" t="s">
        <v>2153</v>
      </c>
      <c r="G21" s="149">
        <f ca="1">ROUND(G19*10000/L19,0)</f>
        <v>87521</v>
      </c>
      <c r="H21" s="2443" t="s">
        <v>2152</v>
      </c>
      <c r="I21" s="138"/>
    </row>
    <row r="22" spans="1:35" ht="15" thickBot="1">
      <c r="A22" s="2284" t="s">
        <v>2154</v>
      </c>
      <c r="B22" s="2444"/>
      <c r="C22" s="2445"/>
      <c r="D22" s="791">
        <f ca="1">IF(C19&lt;D19,D19/C19-1,C19/D19-1)</f>
        <v>6.8020631850419067E-2</v>
      </c>
      <c r="E22" s="138"/>
      <c r="F22" s="138"/>
      <c r="G22" s="138"/>
      <c r="H22" s="138"/>
      <c r="I22" s="138"/>
    </row>
    <row r="23" spans="1:35" ht="13.5" thickBot="1">
      <c r="A23" s="2422"/>
      <c r="B23" s="2422"/>
      <c r="C23" s="2422"/>
      <c r="D23" s="2422"/>
      <c r="E23" s="138"/>
      <c r="F23" s="138"/>
      <c r="G23" s="138"/>
      <c r="H23" s="138"/>
      <c r="I23" s="138"/>
    </row>
    <row r="24" spans="1:35" ht="14.25">
      <c r="A24" s="3157" t="s">
        <v>2155</v>
      </c>
      <c r="B24" s="2439" t="s">
        <v>2147</v>
      </c>
      <c r="C24" s="145">
        <f>IF(B30=0,0,D30)</f>
        <v>0</v>
      </c>
      <c r="D24" s="2446"/>
      <c r="E24" s="138"/>
      <c r="F24" s="138"/>
      <c r="G24" s="138"/>
      <c r="H24" s="138"/>
      <c r="I24" s="138"/>
    </row>
    <row r="25" spans="1:35" ht="14.25">
      <c r="A25" s="3158"/>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3208</v>
      </c>
      <c r="D32" s="2453" t="s">
        <v>2162</v>
      </c>
      <c r="E32" s="138"/>
      <c r="F32" s="138"/>
      <c r="G32" s="138"/>
      <c r="H32" s="138"/>
      <c r="I32" s="138"/>
    </row>
    <row r="33" spans="1:15" ht="15">
      <c r="A33" s="960" t="s">
        <v>2163</v>
      </c>
      <c r="B33" s="2454"/>
      <c r="C33" s="2455" t="s">
        <v>3312</v>
      </c>
      <c r="D33" s="2456" t="s">
        <v>3253</v>
      </c>
      <c r="E33" s="2457" t="s">
        <v>2164</v>
      </c>
      <c r="F33" s="2948" t="str">
        <f>IF(D32="楼面单价","取值（单价）","取值（总价）")</f>
        <v>取值（总价）</v>
      </c>
      <c r="G33" s="138"/>
      <c r="H33" s="138"/>
      <c r="I33" s="138"/>
    </row>
    <row r="34" spans="1:15" ht="15">
      <c r="A34" s="2459"/>
      <c r="B34" s="2460" t="s">
        <v>2165</v>
      </c>
      <c r="C34" s="157">
        <f ca="1">IF(C33="自定义",F34,C32-C35)</f>
        <v>1787</v>
      </c>
      <c r="D34" s="1058">
        <f ca="1">IF(C33="自定义",ROUND(C34/C32,3),IF(C33="收益比率",SUMIF(INDIRECT("'"&amp;D33&amp;"'"&amp;"!b:b"),"土地收益比率",INDIRECT("'"&amp;D33&amp;"'"&amp;"!c:c")),SUMIF(INDIRECT("'"&amp;D33&amp;"'"&amp;"!b:b"),"土地成本比率",INDIRECT("'"&amp;D33&amp;"'"&amp;"!c:c"))))</f>
        <v>0.55699999999999994</v>
      </c>
      <c r="E34" s="2461" t="s">
        <v>2166</v>
      </c>
      <c r="F34" s="1739"/>
      <c r="G34" s="138"/>
      <c r="H34" s="138"/>
      <c r="I34" s="138"/>
    </row>
    <row r="35" spans="1:15" ht="15.75" thickBot="1">
      <c r="A35" s="2462"/>
      <c r="B35" s="2463" t="s">
        <v>2167</v>
      </c>
      <c r="C35" s="1444">
        <f ca="1">IF(C33="自定义",F35,ROUND(C32*D35,0))</f>
        <v>1421</v>
      </c>
      <c r="D35" s="1445">
        <f ca="1">IF(C33="自定义",ROUND(C35/C32,3),IF(C33="收益比率",SUMIF(INDIRECT("'"&amp;D33&amp;"'"&amp;"!b:b"),"建筑物收益比率",INDIRECT("'"&amp;D33&amp;"'"&amp;"!c:c")),SUMIF(INDIRECT("'"&amp;D33&amp;"'"&amp;"!b:b"),"建筑物成本比率",INDIRECT("'"&amp;D33&amp;"'"&amp;"!c:c"))))</f>
        <v>0.443</v>
      </c>
      <c r="E35" s="2464" t="s">
        <v>2168</v>
      </c>
      <c r="F35" s="163"/>
      <c r="G35" s="138"/>
      <c r="H35" s="138"/>
      <c r="I35" s="138"/>
    </row>
    <row r="36" spans="1:15" ht="15.75" thickBot="1">
      <c r="A36" s="3175" t="s">
        <v>2169</v>
      </c>
      <c r="B36" s="2465" t="s">
        <v>2170</v>
      </c>
      <c r="C36" s="154"/>
      <c r="D36" s="2466"/>
      <c r="E36" s="2467"/>
      <c r="F36" s="2468"/>
      <c r="G36" s="138"/>
      <c r="H36" s="138"/>
      <c r="I36" s="138"/>
    </row>
    <row r="37" spans="1:15" ht="15.75" thickBot="1">
      <c r="A37" s="3176"/>
      <c r="B37" s="2270" t="s">
        <v>2171</v>
      </c>
      <c r="C37" s="156"/>
      <c r="D37" s="1395"/>
      <c r="E37" s="1395"/>
      <c r="F37" s="2468"/>
      <c r="G37" s="138"/>
      <c r="H37" s="138"/>
      <c r="I37" s="138"/>
    </row>
    <row r="38" spans="1:15" ht="15.75" thickBot="1">
      <c r="A38" s="3177"/>
      <c r="B38" s="2469" t="s">
        <v>2172</v>
      </c>
      <c r="C38" s="727"/>
      <c r="D38" s="2470" t="s">
        <v>2173</v>
      </c>
      <c r="E38" s="1395"/>
      <c r="F38" s="2468"/>
      <c r="G38" s="138"/>
      <c r="H38" s="138"/>
      <c r="I38" s="138"/>
    </row>
    <row r="39" spans="1:15" ht="15">
      <c r="A39" s="2441" t="s">
        <v>2174</v>
      </c>
      <c r="B39" s="2471" t="s">
        <v>2157</v>
      </c>
      <c r="C39" s="2472" t="s">
        <v>2158</v>
      </c>
      <c r="D39" s="2472" t="s">
        <v>2177</v>
      </c>
      <c r="E39" s="2473" t="s">
        <v>2159</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154" t="s">
        <v>2183</v>
      </c>
      <c r="B45" s="3155"/>
      <c r="C45" s="3156"/>
      <c r="D45" s="164">
        <f ca="1">ROUND(H101*F45,0)</f>
        <v>3208</v>
      </c>
      <c r="E45" s="165" t="s">
        <v>2184</v>
      </c>
      <c r="F45" s="166">
        <v>1</v>
      </c>
      <c r="G45" s="167" t="s">
        <v>2185</v>
      </c>
      <c r="H45" s="138"/>
      <c r="I45" s="138"/>
      <c r="J45" s="3214" t="s">
        <v>2186</v>
      </c>
      <c r="K45" s="3214"/>
      <c r="L45" s="3214"/>
      <c r="M45" s="3214"/>
      <c r="N45" s="3214"/>
      <c r="O45" s="3214"/>
    </row>
    <row r="46" spans="1:15" ht="14.25" customHeight="1">
      <c r="A46" s="3151" t="s">
        <v>2187</v>
      </c>
      <c r="B46" s="3152"/>
      <c r="C46" s="3152"/>
      <c r="D46" s="3152"/>
      <c r="E46" s="3152"/>
      <c r="F46" s="3152"/>
      <c r="G46" s="3153"/>
      <c r="H46" s="2484"/>
      <c r="I46" s="168"/>
      <c r="J46" s="2960">
        <v>1</v>
      </c>
      <c r="K46" s="3214" t="s">
        <v>2188</v>
      </c>
      <c r="L46" s="3214"/>
      <c r="M46" s="3234"/>
      <c r="N46" s="3234"/>
      <c r="O46" s="3234"/>
    </row>
    <row r="47" spans="1:15" ht="12" customHeight="1">
      <c r="A47" s="169" t="s">
        <v>2189</v>
      </c>
      <c r="B47" s="170"/>
      <c r="C47" s="171"/>
      <c r="D47" s="172" t="s">
        <v>2190</v>
      </c>
      <c r="E47" s="24" t="s">
        <v>2191</v>
      </c>
      <c r="F47" s="173" t="s">
        <v>2192</v>
      </c>
      <c r="G47" s="174" t="s">
        <v>2193</v>
      </c>
      <c r="H47" s="2484"/>
      <c r="I47" s="168"/>
      <c r="J47" s="2960">
        <v>2</v>
      </c>
      <c r="K47" s="3214" t="s">
        <v>2194</v>
      </c>
      <c r="L47" s="3214"/>
      <c r="M47" s="3235">
        <f>'数据-取费表'!B2</f>
        <v>43532</v>
      </c>
      <c r="N47" s="3235"/>
      <c r="O47" s="3235"/>
    </row>
    <row r="48" spans="1:15" ht="25.5">
      <c r="A48" s="3182" t="s">
        <v>2195</v>
      </c>
      <c r="B48" s="3165"/>
      <c r="C48" s="3165"/>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214" t="s">
        <v>2198</v>
      </c>
      <c r="L48" s="3214"/>
      <c r="M48" s="3236">
        <f ca="1">H101</f>
        <v>3208</v>
      </c>
      <c r="N48" s="3236"/>
      <c r="O48" s="3236"/>
    </row>
    <row r="49" spans="1:35" ht="25.5" customHeight="1">
      <c r="A49" s="176" t="s">
        <v>2199</v>
      </c>
      <c r="B49" s="3150" t="s">
        <v>2200</v>
      </c>
      <c r="C49" s="3150"/>
      <c r="D49" s="177">
        <v>0</v>
      </c>
      <c r="E49" s="23" t="s">
        <v>2201</v>
      </c>
      <c r="F49" s="28" t="s">
        <v>34</v>
      </c>
      <c r="G49" s="3220"/>
      <c r="H49" s="138"/>
      <c r="I49" s="2487"/>
      <c r="J49" s="2960">
        <v>4</v>
      </c>
      <c r="K49" s="3214" t="str">
        <f>IF(项目基本情况!E8="房地产抵押价值","房地产抵押价值","抵押担保权已注销时的房地产抵押价值")</f>
        <v>房地产抵押价值</v>
      </c>
      <c r="L49" s="3214"/>
      <c r="M49" s="3236">
        <f ca="1">IF(项目基本情况!E8="房地产抵押价值",H107,H109)</f>
        <v>3208</v>
      </c>
      <c r="N49" s="3236"/>
      <c r="O49" s="3236"/>
    </row>
    <row r="50" spans="1:35" ht="25.5" customHeight="1">
      <c r="A50" s="178"/>
      <c r="B50" s="3150" t="s">
        <v>2202</v>
      </c>
      <c r="C50" s="3150"/>
      <c r="D50" s="179"/>
      <c r="E50" s="31"/>
      <c r="F50" s="180"/>
      <c r="G50" s="3221"/>
      <c r="H50" s="138"/>
      <c r="I50" s="2487"/>
      <c r="J50" s="3214" t="s">
        <v>2203</v>
      </c>
      <c r="K50" s="3214"/>
      <c r="L50" s="3214"/>
      <c r="M50" s="3214"/>
      <c r="N50" s="3214"/>
      <c r="O50" s="3214"/>
    </row>
    <row r="51" spans="1:35" ht="12" customHeight="1">
      <c r="A51" s="181"/>
      <c r="B51" s="3150" t="s">
        <v>2204</v>
      </c>
      <c r="C51" s="3150"/>
      <c r="D51" s="182"/>
      <c r="E51" s="30"/>
      <c r="F51" s="180"/>
      <c r="G51" s="3222"/>
      <c r="H51" s="138"/>
      <c r="I51" s="2487"/>
      <c r="J51" s="2959" t="s">
        <v>2205</v>
      </c>
      <c r="K51" s="3214" t="s">
        <v>2206</v>
      </c>
      <c r="L51" s="3214"/>
      <c r="M51" s="2959" t="s">
        <v>2207</v>
      </c>
      <c r="N51" s="2959" t="s">
        <v>2208</v>
      </c>
      <c r="O51" s="2959" t="s">
        <v>2209</v>
      </c>
    </row>
    <row r="52" spans="1:35" ht="24" customHeight="1">
      <c r="A52" s="183" t="s">
        <v>2210</v>
      </c>
      <c r="B52" s="3150" t="s">
        <v>2211</v>
      </c>
      <c r="C52" s="3150"/>
      <c r="D52" s="182">
        <f ca="1">ROUND(D45*'数据-取费表'!B41/(1+'数据-取费表'!C42),0)</f>
        <v>171</v>
      </c>
      <c r="E52" s="11" t="s">
        <v>2212</v>
      </c>
      <c r="F52" s="184">
        <f>'数据-取费表'!B41</f>
        <v>5.6000000000000001E-2</v>
      </c>
      <c r="G52" s="2489"/>
      <c r="H52" s="138"/>
      <c r="I52" s="2487"/>
      <c r="J52" s="2960">
        <v>1</v>
      </c>
      <c r="K52" s="3215" t="s">
        <v>2213</v>
      </c>
      <c r="L52" s="3215"/>
      <c r="M52" s="1754">
        <f>D48</f>
        <v>0</v>
      </c>
      <c r="N52" s="2960" t="str">
        <f>E48</f>
        <v>销售额×税（费）率</v>
      </c>
      <c r="O52" s="1755" t="str">
        <f>F48</f>
        <v>免征</v>
      </c>
    </row>
    <row r="53" spans="1:35" ht="12" customHeight="1">
      <c r="A53" s="183" t="s">
        <v>2214</v>
      </c>
      <c r="B53" s="3173" t="s">
        <v>2215</v>
      </c>
      <c r="C53" s="3174"/>
      <c r="D53" s="182">
        <f ca="1">ROUND(D45*'数据-取费表'!B41/(1+'数据-取费表'!C42),0)</f>
        <v>171</v>
      </c>
      <c r="E53" s="11" t="s">
        <v>2212</v>
      </c>
      <c r="F53" s="184">
        <f>'数据-取费表'!B41</f>
        <v>5.6000000000000001E-2</v>
      </c>
      <c r="G53" s="2489"/>
      <c r="H53" s="138"/>
      <c r="I53" s="2487"/>
      <c r="J53" s="2960">
        <v>2</v>
      </c>
      <c r="K53" s="3215" t="s">
        <v>2216</v>
      </c>
      <c r="L53" s="3215"/>
      <c r="M53" s="1754">
        <f t="shared" ref="M53:O54" ca="1" si="0">D55</f>
        <v>2</v>
      </c>
      <c r="N53" s="2960" t="str">
        <f t="shared" si="0"/>
        <v>销售额×税（费）率</v>
      </c>
      <c r="O53" s="1755">
        <f t="shared" si="0"/>
        <v>5.1999999999999995E-4</v>
      </c>
    </row>
    <row r="54" spans="1:35" ht="12" customHeight="1">
      <c r="A54" s="183" t="s">
        <v>2217</v>
      </c>
      <c r="B54" s="3173" t="s">
        <v>2218</v>
      </c>
      <c r="C54" s="3174"/>
      <c r="D54" s="182">
        <f ca="1">C68</f>
        <v>171</v>
      </c>
      <c r="E54" s="30" t="s">
        <v>2219</v>
      </c>
      <c r="F54" s="184">
        <f>'数据-取费表'!B41</f>
        <v>5.6000000000000001E-2</v>
      </c>
      <c r="G54" s="2489"/>
      <c r="H54" s="2490"/>
      <c r="I54" s="2487"/>
      <c r="J54" s="2960">
        <v>3</v>
      </c>
      <c r="K54" s="3215" t="s">
        <v>2220</v>
      </c>
      <c r="L54" s="3215"/>
      <c r="M54" s="1754">
        <f t="shared" ca="1" si="0"/>
        <v>1816</v>
      </c>
      <c r="N54" s="2960" t="str">
        <f t="shared" si="0"/>
        <v>增值额×税（费）率</v>
      </c>
      <c r="O54" s="1756" t="str">
        <f t="shared" si="0"/>
        <v>——</v>
      </c>
    </row>
    <row r="55" spans="1:35" ht="24" customHeight="1">
      <c r="A55" s="3164" t="s">
        <v>2221</v>
      </c>
      <c r="B55" s="3165"/>
      <c r="C55" s="3165"/>
      <c r="D55" s="185">
        <f ca="1">IF(H55="个人住宅",0,ROUND(D45*I55,0))</f>
        <v>2</v>
      </c>
      <c r="E55" s="11" t="s">
        <v>2222</v>
      </c>
      <c r="F55" s="184">
        <f>IF(H55="正常",I55,"免征")</f>
        <v>5.1999999999999995E-4</v>
      </c>
      <c r="G55" s="2489"/>
      <c r="H55" s="2486" t="s">
        <v>2223</v>
      </c>
      <c r="I55" s="186">
        <f>'数据-取费表'!B49</f>
        <v>5.1999999999999995E-4</v>
      </c>
      <c r="J55" s="2960" t="str">
        <f>IF(H59="非个人房产","",4)</f>
        <v/>
      </c>
      <c r="K55" s="3215" t="str">
        <f>IF(H59="非个人房产","——","个人所得税")</f>
        <v>——</v>
      </c>
      <c r="L55" s="3215"/>
      <c r="M55" s="1757" t="str">
        <f>D59</f>
        <v>——</v>
      </c>
      <c r="N55" s="2961" t="str">
        <f>E59</f>
        <v>——</v>
      </c>
      <c r="O55" s="1758" t="str">
        <f>F59</f>
        <v>——</v>
      </c>
    </row>
    <row r="56" spans="1:35" ht="24.75">
      <c r="A56" s="3164" t="s">
        <v>2224</v>
      </c>
      <c r="B56" s="3165"/>
      <c r="C56" s="3165"/>
      <c r="D56" s="185">
        <f ca="1">IF(H56="个人住宅",D57,D58)</f>
        <v>1816</v>
      </c>
      <c r="E56" s="11" t="s">
        <v>2225</v>
      </c>
      <c r="F56" s="184" t="str">
        <f>IF(H56="正常",F58,"免征")</f>
        <v>——</v>
      </c>
      <c r="G56" s="2491" t="s">
        <v>2226</v>
      </c>
      <c r="H56" s="2492" t="s">
        <v>2223</v>
      </c>
      <c r="I56" s="2493"/>
      <c r="J56" s="2960" t="str">
        <f>IF(项目基本情况!K6="上海银行",IF(J55="",4,J55+1),"")</f>
        <v/>
      </c>
      <c r="K56" s="3238" t="str">
        <f>IF(项目基本情况!K6="上海银行","其他处置费用","")</f>
        <v/>
      </c>
      <c r="L56" s="3239"/>
      <c r="M56" s="1754" t="str">
        <f>IF(项目基本情况!K6="上海银行",M69,"")</f>
        <v/>
      </c>
      <c r="N56" s="3241" t="str">
        <f>IF(项目基本情况!K6="上海银行","包含处置中涉及的律师、诉讼、拍卖、评估等费用","")</f>
        <v/>
      </c>
      <c r="O56" s="3242"/>
    </row>
    <row r="57" spans="1:35" ht="12.75">
      <c r="A57" s="183" t="s">
        <v>2199</v>
      </c>
      <c r="B57" s="3180" t="s">
        <v>2227</v>
      </c>
      <c r="C57" s="3189"/>
      <c r="D57" s="187">
        <v>0</v>
      </c>
      <c r="E57" s="23" t="s">
        <v>2201</v>
      </c>
      <c r="F57" s="155"/>
      <c r="G57" s="2489"/>
      <c r="H57" s="2493"/>
      <c r="I57" s="2493"/>
      <c r="J57" s="3215">
        <f>IF(AND(J55="",J56=""),4,IF(项目基本情况!K6="上海银行",'结果表-办公'!J56+1,'结果表-办公'!J55+1))</f>
        <v>4</v>
      </c>
      <c r="K57" s="3215" t="s">
        <v>2228</v>
      </c>
      <c r="L57" s="2494" t="s">
        <v>2229</v>
      </c>
      <c r="M57" s="1759"/>
      <c r="N57" s="1760">
        <f ca="1">SUMIF(M52:M56,"&lt;9e307")</f>
        <v>1818</v>
      </c>
      <c r="O57" s="2495"/>
      <c r="P57" s="1753">
        <f ca="1">N57/M49</f>
        <v>0.56670822942643395</v>
      </c>
    </row>
    <row r="58" spans="1:35" ht="24.75">
      <c r="A58" s="183" t="s">
        <v>2210</v>
      </c>
      <c r="B58" s="3180" t="s">
        <v>2230</v>
      </c>
      <c r="C58" s="3181"/>
      <c r="D58" s="185">
        <f ca="1">IF(H58="转让取得",C81,C97)</f>
        <v>1816</v>
      </c>
      <c r="E58" s="11" t="s">
        <v>2225</v>
      </c>
      <c r="F58" s="24" t="s">
        <v>34</v>
      </c>
      <c r="G58" s="2489"/>
      <c r="H58" s="2492" t="s">
        <v>2231</v>
      </c>
      <c r="I58" s="2493"/>
      <c r="J58" s="3215"/>
      <c r="K58" s="3215"/>
      <c r="L58" s="2494" t="s">
        <v>2232</v>
      </c>
      <c r="M58" s="1761"/>
      <c r="N58" s="2496" t="str">
        <f ca="1">NUMBERSTRING(INT(N57*10000),2)&amp;"元整"</f>
        <v>壹仟捌佰壹拾捌万元整</v>
      </c>
      <c r="O58" s="2497"/>
    </row>
    <row r="59" spans="1:35" ht="24.75" thickBot="1">
      <c r="A59" s="3218" t="s">
        <v>2233</v>
      </c>
      <c r="B59" s="3219"/>
      <c r="C59" s="3219"/>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216">
        <f>J57+1</f>
        <v>5</v>
      </c>
      <c r="K59" s="3215" t="s">
        <v>2235</v>
      </c>
      <c r="L59" s="2960" t="s">
        <v>2229</v>
      </c>
      <c r="M59" s="1762"/>
      <c r="N59" s="1763">
        <f ca="1">M49-N57</f>
        <v>1390</v>
      </c>
      <c r="O59" s="2499"/>
    </row>
    <row r="60" spans="1:35" ht="12" customHeight="1">
      <c r="A60" s="2500"/>
      <c r="B60" s="2422"/>
      <c r="C60" s="2422"/>
      <c r="D60" s="2422"/>
      <c r="E60" s="2170"/>
      <c r="F60" s="2493"/>
      <c r="G60" s="2493"/>
      <c r="H60" s="2501"/>
      <c r="I60" s="138"/>
      <c r="J60" s="3217"/>
      <c r="K60" s="3215"/>
      <c r="L60" s="2494" t="s">
        <v>2232</v>
      </c>
      <c r="M60" s="1761"/>
      <c r="N60" s="2496" t="str">
        <f ca="1">NUMBERSTRING(INT(N59*10000),2)&amp;"元整"</f>
        <v>壹仟叁佰玖拾万元整</v>
      </c>
      <c r="O60" s="2497"/>
    </row>
    <row r="61" spans="1:35" ht="13.5" thickBot="1">
      <c r="A61" s="3162" t="s">
        <v>2236</v>
      </c>
      <c r="B61" s="3162"/>
      <c r="C61" s="3162"/>
      <c r="D61" s="3162"/>
      <c r="E61" s="3162"/>
      <c r="F61" s="2493"/>
      <c r="G61" s="2493"/>
      <c r="H61" s="2501"/>
      <c r="I61" s="138"/>
      <c r="J61" s="2960">
        <f>J59+1</f>
        <v>6</v>
      </c>
      <c r="K61" s="3215" t="s">
        <v>2237</v>
      </c>
      <c r="L61" s="3215"/>
      <c r="M61" s="1764"/>
      <c r="N61" s="1765">
        <f ca="1">ROUND(N59*10000/'数据-汇总表'!E3,0)</f>
        <v>409</v>
      </c>
      <c r="O61" s="2502"/>
    </row>
    <row r="62" spans="1:35" ht="12.75">
      <c r="A62" s="3178" t="s">
        <v>2238</v>
      </c>
      <c r="B62" s="3179"/>
      <c r="C62" s="2955"/>
      <c r="D62" s="2955" t="s">
        <v>2239</v>
      </c>
      <c r="E62" s="192" t="s">
        <v>2240</v>
      </c>
      <c r="F62" s="2493"/>
      <c r="G62" s="2493"/>
      <c r="H62" s="2501"/>
      <c r="I62" s="138"/>
    </row>
    <row r="63" spans="1:35" ht="12.75">
      <c r="A63" s="203" t="s">
        <v>775</v>
      </c>
      <c r="B63" s="193" t="s">
        <v>2241</v>
      </c>
      <c r="C63" s="194">
        <f ca="1">ROUND((C64+C65)/(1+'数据-取费表'!C42),0)</f>
        <v>3055</v>
      </c>
      <c r="D63" s="195"/>
      <c r="E63" s="196"/>
      <c r="F63" s="2493"/>
      <c r="G63" s="2493"/>
      <c r="H63" s="2501"/>
      <c r="I63" s="138"/>
      <c r="J63" s="3240" t="s">
        <v>2242</v>
      </c>
      <c r="K63" s="2964" t="s">
        <v>2243</v>
      </c>
      <c r="L63" s="1752">
        <f ca="1">IF(M49&gt;10000,M49*0.5%,IF(AND(M49&gt;1000,M49&lt;=10000),M49*1%,IF(AND(M49&gt;100,M49&lt;=1000),M49*3%,IF(AND(M49&gt;10,M49&lt;=100),M49*5%,M49*8%))))</f>
        <v>32.08</v>
      </c>
      <c r="M63" s="24">
        <f ca="1">ROUND(L63,1)</f>
        <v>32.1</v>
      </c>
      <c r="Z63" s="2427"/>
      <c r="AI63" s="2428"/>
    </row>
    <row r="64" spans="1:35" ht="14.25" customHeight="1">
      <c r="A64" s="197" t="s">
        <v>770</v>
      </c>
      <c r="B64" s="198" t="s">
        <v>2244</v>
      </c>
      <c r="C64" s="199">
        <f ca="1">D45</f>
        <v>3208</v>
      </c>
      <c r="D64" s="200" t="s">
        <v>32</v>
      </c>
      <c r="E64" s="201"/>
      <c r="F64" s="2493"/>
      <c r="G64" s="2493"/>
      <c r="H64" s="2501"/>
      <c r="I64" s="138"/>
      <c r="J64" s="3240"/>
      <c r="K64" s="2964" t="s">
        <v>2245</v>
      </c>
      <c r="L64" s="1752">
        <f ca="1">IF(M49&gt;2000,M49*0.5%,IF(AND(M49&gt;1000,M49&lt;=2000),M49*0.6%,IF(AND(M49&gt;500,M49&lt;=1000),M49*0.7%,IF(AND(M49&gt;200,M49&lt;=500),M49*0.8%,IF(AND(M49&gt;100,M49&lt;=200),M49*0.9%,IF(AND(M49&gt;50,M49&lt;=100),M49*1%,IF(AND(M49&gt;20,M49&lt;=50),M49*1.5%,IF(AND(M49&gt;10,M49&lt;=20),M49*2%,IF(AND(M49&gt;1,M49&lt;=10),M49*2.5%)))))))))</f>
        <v>16.04</v>
      </c>
      <c r="M64" s="24">
        <f t="shared" ref="M64:M65" ca="1" si="1">ROUND(L64,1)</f>
        <v>16</v>
      </c>
      <c r="N64" s="138" t="s">
        <v>2246</v>
      </c>
      <c r="Z64" s="2427"/>
      <c r="AI64" s="2428"/>
    </row>
    <row r="65" spans="1:35" ht="14.25" customHeight="1">
      <c r="A65" s="197" t="s">
        <v>771</v>
      </c>
      <c r="B65" s="198" t="s">
        <v>2247</v>
      </c>
      <c r="C65" s="202"/>
      <c r="D65" s="200"/>
      <c r="E65" s="201"/>
      <c r="F65" s="2493"/>
      <c r="G65" s="2493"/>
      <c r="H65" s="2501"/>
      <c r="I65" s="138"/>
      <c r="J65" s="3240"/>
      <c r="K65" s="2964" t="s">
        <v>2248</v>
      </c>
      <c r="L65" s="1752">
        <f ca="1">IF(M49&gt;1000,M49*0.1%,IF(AND(M49&gt;500,M49&lt;=1000),M49*0.5%,IF(AND(M49&gt;50,M49&lt;=500),M49*1%,IF(AND(M49&gt;1,M49&lt;=50),M49*1.5%))))</f>
        <v>3.2080000000000002</v>
      </c>
      <c r="M65" s="24">
        <f t="shared" ca="1" si="1"/>
        <v>3.2</v>
      </c>
      <c r="N65" s="138" t="s">
        <v>2246</v>
      </c>
      <c r="Z65" s="2427"/>
      <c r="AI65" s="2428"/>
    </row>
    <row r="66" spans="1:35" ht="14.25" customHeight="1">
      <c r="A66" s="203" t="s">
        <v>772</v>
      </c>
      <c r="B66" s="204" t="s">
        <v>2249</v>
      </c>
      <c r="C66" s="205"/>
      <c r="D66" s="206" t="s">
        <v>32</v>
      </c>
      <c r="E66" s="1776" t="s">
        <v>1367</v>
      </c>
      <c r="F66" s="2493"/>
      <c r="G66" s="2493"/>
      <c r="H66" s="2501"/>
      <c r="I66" s="138"/>
      <c r="J66" s="3240"/>
      <c r="K66" s="2964" t="s">
        <v>2250</v>
      </c>
      <c r="L66" s="1752">
        <f ca="1">M49*0.5%</f>
        <v>16.04</v>
      </c>
      <c r="M66" s="24">
        <f ca="1">IF(L66&gt;0.5,0.5,ROUND(L66,0))</f>
        <v>0.5</v>
      </c>
      <c r="N66" s="138" t="s">
        <v>2251</v>
      </c>
      <c r="Z66" s="2427"/>
      <c r="AI66" s="2428"/>
    </row>
    <row r="67" spans="1:35" ht="14.25" customHeight="1">
      <c r="A67" s="203" t="s">
        <v>773</v>
      </c>
      <c r="B67" s="204" t="s">
        <v>2252</v>
      </c>
      <c r="C67" s="207">
        <f ca="1">C63-C66</f>
        <v>3055</v>
      </c>
      <c r="D67" s="200" t="s">
        <v>32</v>
      </c>
      <c r="E67" s="201"/>
      <c r="F67" s="2493"/>
      <c r="G67" s="2493"/>
      <c r="H67" s="2501"/>
      <c r="I67" s="138"/>
      <c r="J67" s="3240"/>
      <c r="K67" s="2964" t="s">
        <v>2253</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8" t="s">
        <v>774</v>
      </c>
      <c r="B68" s="209" t="s">
        <v>2254</v>
      </c>
      <c r="C68" s="210">
        <f ca="1">IF(C67&lt;=0,0,ROUND(C67*D68,0))</f>
        <v>171</v>
      </c>
      <c r="D68" s="211">
        <f>'数据-取费表'!B41</f>
        <v>5.6000000000000001E-2</v>
      </c>
      <c r="E68" s="212"/>
      <c r="F68" s="2493"/>
      <c r="G68" s="2493"/>
      <c r="H68" s="2501"/>
      <c r="I68" s="138"/>
      <c r="J68" s="3240"/>
      <c r="K68" s="2964" t="s">
        <v>2255</v>
      </c>
      <c r="L68" s="1752">
        <f ca="1">IF(M49&gt;10000,M49*0.5%,IF(AND(M49&gt;5000,M49&lt;=10000),M49*1%,IF(AND(M49&gt;1000,M49&lt;=5000),M49*2%,IF(AND(M49&gt;200,M49&lt;=1000),M49*3%,M49*5%))))</f>
        <v>64.16</v>
      </c>
      <c r="M68" s="24">
        <f ca="1">ROUND(L68,1)</f>
        <v>64.2</v>
      </c>
      <c r="Z68" s="2427"/>
      <c r="AI68" s="2428"/>
    </row>
    <row r="69" spans="1:35" s="2450" customFormat="1" ht="16.5" customHeight="1">
      <c r="A69" s="2504"/>
      <c r="B69" s="2505"/>
      <c r="C69" s="2506"/>
      <c r="D69" s="2507"/>
      <c r="E69" s="2508"/>
      <c r="F69" s="2170"/>
      <c r="G69" s="2170"/>
      <c r="H69" s="2169"/>
      <c r="I69" s="2422"/>
      <c r="J69" s="3240"/>
      <c r="K69" s="2964" t="s">
        <v>2256</v>
      </c>
      <c r="L69" s="2509"/>
      <c r="M69" s="24">
        <f ca="1">ROUND(SUM(M63:M68),0)</f>
        <v>118</v>
      </c>
      <c r="N69" s="1753">
        <f ca="1">M69/M49</f>
        <v>3.6783042394014961E-2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99" t="s">
        <v>2257</v>
      </c>
      <c r="B70" s="3200"/>
      <c r="C70" s="3200"/>
      <c r="D70" s="3200"/>
      <c r="E70" s="3200"/>
      <c r="F70" s="3200"/>
      <c r="G70" s="3200"/>
      <c r="H70" s="320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78" t="s">
        <v>2238</v>
      </c>
      <c r="B71" s="3179"/>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3055</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18</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73" t="s">
        <v>2266</v>
      </c>
      <c r="F76" s="3150"/>
      <c r="G76" s="3150"/>
      <c r="H76" s="319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18</v>
      </c>
      <c r="D78" s="226">
        <f>'数据-取费表'!B43</f>
        <v>6.000000000000001E-3</v>
      </c>
      <c r="E78" s="3159" t="s">
        <v>2271</v>
      </c>
      <c r="F78" s="3160"/>
      <c r="G78" s="3160"/>
      <c r="H78" s="316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2272</v>
      </c>
      <c r="C79" s="207">
        <f ca="1">C72-C73</f>
        <v>3037</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168.72222222222223</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1816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99" t="s">
        <v>2275</v>
      </c>
      <c r="B83" s="3200"/>
      <c r="C83" s="3200"/>
      <c r="D83" s="3200"/>
      <c r="E83" s="3200"/>
      <c r="F83" s="3200"/>
      <c r="G83" s="3200"/>
      <c r="H83" s="320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78" t="s">
        <v>2238</v>
      </c>
      <c r="B84" s="3179"/>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3055</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18</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59" t="s">
        <v>2284</v>
      </c>
      <c r="F91" s="3160"/>
      <c r="G91" s="3160"/>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59" t="s">
        <v>2288</v>
      </c>
      <c r="F92" s="3160"/>
      <c r="G92" s="3160"/>
      <c r="H92" s="316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18</v>
      </c>
      <c r="D93" s="226">
        <f>'数据-取费表'!B43</f>
        <v>6.000000000000001E-3</v>
      </c>
      <c r="E93" s="3159" t="s">
        <v>2271</v>
      </c>
      <c r="F93" s="3160"/>
      <c r="G93" s="3160"/>
      <c r="H93" s="316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70" t="s">
        <v>2292</v>
      </c>
      <c r="F94" s="3171"/>
      <c r="G94" s="3171"/>
      <c r="H94" s="317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2272</v>
      </c>
      <c r="C95" s="207">
        <f ca="1">ROUND(C85-C86,0)</f>
        <v>3037</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168.72222222222223</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1816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0" t="s">
        <v>2294</v>
      </c>
      <c r="B100" s="3121"/>
      <c r="C100" s="3121"/>
      <c r="D100" s="3161"/>
      <c r="E100" s="3121" t="s">
        <v>2295</v>
      </c>
      <c r="F100" s="3121"/>
      <c r="G100" s="3121"/>
      <c r="H100" s="3161"/>
      <c r="I100" s="138"/>
    </row>
    <row r="101" spans="1:35" ht="18.75" customHeight="1">
      <c r="A101" s="3223" t="s">
        <v>2296</v>
      </c>
      <c r="B101" s="3224"/>
      <c r="C101" s="736" t="str">
        <f>C4</f>
        <v>比较法-办公</v>
      </c>
      <c r="D101" s="737" t="str">
        <f>D4</f>
        <v>收益法-办公</v>
      </c>
      <c r="E101" s="3237" t="s">
        <v>2297</v>
      </c>
      <c r="F101" s="3191"/>
      <c r="G101" s="2524" t="s">
        <v>2298</v>
      </c>
      <c r="H101" s="1048">
        <f ca="1">H118</f>
        <v>3208</v>
      </c>
      <c r="I101" s="138"/>
    </row>
    <row r="102" spans="1:35" ht="18.75" customHeight="1">
      <c r="A102" s="3193" t="s">
        <v>2299</v>
      </c>
      <c r="B102" s="2524" t="s">
        <v>2298</v>
      </c>
      <c r="C102" s="736">
        <f ca="1">C19</f>
        <v>3313</v>
      </c>
      <c r="D102" s="737">
        <f ca="1">D19</f>
        <v>3102</v>
      </c>
      <c r="E102" s="3237"/>
      <c r="F102" s="3191"/>
      <c r="G102" s="2524" t="s">
        <v>2300</v>
      </c>
      <c r="H102" s="371">
        <f ca="1">I118</f>
        <v>10201</v>
      </c>
      <c r="I102" s="138"/>
    </row>
    <row r="103" spans="1:35" ht="42.75" customHeight="1">
      <c r="A103" s="3193"/>
      <c r="B103" s="2524" t="s">
        <v>2300</v>
      </c>
      <c r="C103" s="738">
        <f ca="1">C20</f>
        <v>10533</v>
      </c>
      <c r="D103" s="739">
        <f ca="1">D20</f>
        <v>9864</v>
      </c>
      <c r="E103" s="3232" t="s">
        <v>2301</v>
      </c>
      <c r="F103" s="3233"/>
      <c r="G103" s="2525" t="s">
        <v>2302</v>
      </c>
      <c r="H103" s="1048">
        <f>IF(D36="正常操作",H104+H105+H106,H105+H106)</f>
        <v>0</v>
      </c>
      <c r="I103" s="138"/>
    </row>
    <row r="104" spans="1:35" ht="18.75" customHeight="1">
      <c r="A104" s="3193" t="s">
        <v>2303</v>
      </c>
      <c r="B104" s="2526" t="s">
        <v>2298</v>
      </c>
      <c r="C104" s="740">
        <f ca="1">H118</f>
        <v>3208</v>
      </c>
      <c r="D104" s="741"/>
      <c r="E104" s="2270" t="s">
        <v>2304</v>
      </c>
      <c r="F104" s="2262"/>
      <c r="G104" s="2525" t="s">
        <v>2302</v>
      </c>
      <c r="H104" s="1049">
        <f>IF(D36="同一抵押权人同一抵押物续贷",C36&amp;"（未扣减，详见特别提示）",C36)</f>
        <v>0</v>
      </c>
      <c r="I104" s="138"/>
    </row>
    <row r="105" spans="1:35" ht="18.75" customHeight="1" thickBot="1">
      <c r="A105" s="3194"/>
      <c r="B105" s="2527" t="s">
        <v>2300</v>
      </c>
      <c r="C105" s="742">
        <f ca="1">I118</f>
        <v>10201</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0" t="str">
        <f>IF(项目基本情况!E8="已注销","——","3.房地产抵押价值")</f>
        <v>3.房地产抵押价值</v>
      </c>
      <c r="F107" s="3191"/>
      <c r="G107" s="2524" t="s">
        <v>2298</v>
      </c>
      <c r="H107" s="1048">
        <f ca="1">IF(E107="——","——",H101-H103)</f>
        <v>3208</v>
      </c>
      <c r="I107" s="138"/>
    </row>
    <row r="108" spans="1:35" ht="18.75" customHeight="1">
      <c r="A108" s="138"/>
      <c r="B108" s="138"/>
      <c r="C108" s="138"/>
      <c r="D108" s="138"/>
      <c r="E108" s="3190"/>
      <c r="F108" s="3191"/>
      <c r="G108" s="2524" t="s">
        <v>2300</v>
      </c>
      <c r="H108" s="371">
        <f ca="1">ROUND(H107*10000/'数据-汇总表'!E3,0)</f>
        <v>944</v>
      </c>
      <c r="I108" s="138"/>
    </row>
    <row r="109" spans="1:35" ht="18.75" customHeight="1">
      <c r="A109" s="138"/>
      <c r="B109" s="138"/>
      <c r="C109" s="138"/>
      <c r="D109" s="138"/>
      <c r="E109" s="3190" t="str">
        <f>IF(项目基本情况!E8="已注销及未注销","4.抵押担保权已注销时的房地产抵押价值",IF(项目基本情况!E8="已注销","3.抵押担保权已注销时的房地产抵押价值","——"))</f>
        <v>——</v>
      </c>
      <c r="F109" s="3191"/>
      <c r="G109" s="2524" t="s">
        <v>2298</v>
      </c>
      <c r="H109" s="348" t="str">
        <f>IF(E109="——","——",H101-H105-H106)</f>
        <v>——</v>
      </c>
      <c r="I109" s="138"/>
    </row>
    <row r="110" spans="1:35" ht="18.75" customHeight="1">
      <c r="A110" s="138"/>
      <c r="B110" s="138"/>
      <c r="C110" s="138"/>
      <c r="D110" s="138"/>
      <c r="E110" s="3190"/>
      <c r="F110" s="3191"/>
      <c r="G110" s="2524" t="s">
        <v>2300</v>
      </c>
      <c r="H110" s="371" t="str">
        <f>IF(H109="——","——",ROUND(H109*10000/'数据-汇总表'!E3,0))</f>
        <v>——</v>
      </c>
      <c r="I110" s="138"/>
    </row>
    <row r="111" spans="1:35" ht="18.75" customHeight="1">
      <c r="A111" s="138"/>
      <c r="B111" s="138"/>
      <c r="C111" s="138"/>
      <c r="D111" s="138"/>
      <c r="E111" s="3225" t="str">
        <f>IF(项目基本情况!E9="抵押净值",IF(OR(项目基本情况!E8="已注销",项目基本情况!E8="房地产抵押价值"),"4.抵押净值","5.抵押净值"),"——")</f>
        <v>——</v>
      </c>
      <c r="F111" s="3226"/>
      <c r="G111" s="2524" t="s">
        <v>2298</v>
      </c>
      <c r="H111" s="1048" t="str">
        <f>IF(E111="——","——",N59)</f>
        <v>——</v>
      </c>
      <c r="I111" s="138"/>
    </row>
    <row r="112" spans="1:35" ht="18.75" customHeight="1" thickBot="1">
      <c r="A112" s="138"/>
      <c r="B112" s="138"/>
      <c r="C112" s="138"/>
      <c r="D112" s="138"/>
      <c r="E112" s="3227"/>
      <c r="F112" s="3228"/>
      <c r="G112" s="2529" t="s">
        <v>2300</v>
      </c>
      <c r="H112" s="790" t="str">
        <f>IF(E111="——","——",N61)</f>
        <v>——</v>
      </c>
      <c r="I112" s="138"/>
    </row>
    <row r="113" spans="1:11" ht="18.75" customHeight="1">
      <c r="A113" s="138"/>
      <c r="B113" s="138"/>
      <c r="C113" s="138"/>
      <c r="D113" s="138"/>
      <c r="E113" s="3195" t="s">
        <v>2306</v>
      </c>
      <c r="F113" s="3195"/>
      <c r="G113" s="3195"/>
      <c r="H113" s="3195"/>
      <c r="I113" s="138"/>
    </row>
    <row r="114" spans="1:11" ht="3.75" customHeight="1">
      <c r="A114" s="2422"/>
      <c r="B114" s="2422"/>
      <c r="C114" s="2422"/>
      <c r="D114" s="2422"/>
      <c r="E114" s="2500"/>
      <c r="F114" s="2500"/>
      <c r="G114" s="2500"/>
      <c r="H114" s="2500"/>
      <c r="I114" s="2422"/>
    </row>
    <row r="115" spans="1:11" ht="18.75" customHeight="1">
      <c r="A115" s="3208" t="s">
        <v>2308</v>
      </c>
      <c r="B115" s="3209"/>
      <c r="C115" s="3209"/>
      <c r="D115" s="3209"/>
      <c r="E115" s="3209"/>
      <c r="F115" s="3209"/>
      <c r="G115" s="3209"/>
      <c r="H115" s="3209"/>
      <c r="I115" s="3210"/>
    </row>
    <row r="116" spans="1:11" ht="27" customHeight="1">
      <c r="A116" s="3077" t="s">
        <v>2309</v>
      </c>
      <c r="B116" s="3196" t="s">
        <v>2310</v>
      </c>
      <c r="C116" s="3196" t="s">
        <v>2311</v>
      </c>
      <c r="D116" s="3212" t="s">
        <v>2312</v>
      </c>
      <c r="E116" s="3213"/>
      <c r="F116" s="3204" t="s">
        <v>2313</v>
      </c>
      <c r="G116" s="3204"/>
      <c r="H116" s="3077" t="s">
        <v>2314</v>
      </c>
      <c r="I116" s="3077"/>
    </row>
    <row r="117" spans="1:11" ht="18.75" customHeight="1">
      <c r="A117" s="3077"/>
      <c r="B117" s="3197"/>
      <c r="C117" s="3197"/>
      <c r="D117" s="2947" t="s">
        <v>2315</v>
      </c>
      <c r="E117" s="2947" t="s">
        <v>2316</v>
      </c>
      <c r="F117" s="2947" t="s">
        <v>2315</v>
      </c>
      <c r="G117" s="2947" t="s">
        <v>2317</v>
      </c>
      <c r="H117" s="2947" t="s">
        <v>2315</v>
      </c>
      <c r="I117" s="2947" t="s">
        <v>2317</v>
      </c>
    </row>
    <row r="118" spans="1:11" ht="24.75" customHeight="1">
      <c r="A118" s="2530" t="str">
        <f>项目基本情况!S2</f>
        <v>房地产</v>
      </c>
      <c r="B118" s="2947">
        <f>M18</f>
        <v>3144.8900000000003</v>
      </c>
      <c r="C118" s="2947">
        <f>M19</f>
        <v>366.54</v>
      </c>
      <c r="D118" s="2947">
        <f ca="1">ROUND(IF(D32="总价",C34,E118*B118/10000),0)</f>
        <v>1787</v>
      </c>
      <c r="E118" s="2947">
        <f ca="1">ROUND(IF(C33="自定义",IF(D32="楼面单价",C34,D118*10000/B118),I118-G118),0)</f>
        <v>5683</v>
      </c>
      <c r="F118" s="2947">
        <f ca="1">ROUND(IF(D32="总价",C35,G118*B118/10000),0)</f>
        <v>1421</v>
      </c>
      <c r="G118" s="2947">
        <f ca="1">ROUND(IF(D32="楼面单价",C35,F118*10000/B118),0)</f>
        <v>4518</v>
      </c>
      <c r="H118" s="2947">
        <f ca="1">ROUND(IF(D32="总价",C32,I118*B118/10000),0)</f>
        <v>3208</v>
      </c>
      <c r="I118" s="2947">
        <f ca="1">ROUND(IF(D32="楼面单价",C32,H118*10000/B118),0)</f>
        <v>10201</v>
      </c>
    </row>
    <row r="119" spans="1:11" ht="18.75" customHeight="1">
      <c r="A119" s="3077" t="s">
        <v>2318</v>
      </c>
      <c r="B119" s="3077"/>
      <c r="C119" s="3077"/>
      <c r="D119" s="3201" t="str">
        <f ca="1">NUMBERSTRING(INT(D118*10000),2)&amp;"元整"</f>
        <v>壹仟柒佰捌拾柒万元整</v>
      </c>
      <c r="E119" s="3203"/>
      <c r="F119" s="3201" t="str">
        <f ca="1">NUMBERSTRING(INT(F118*10000),2)&amp;"元整"</f>
        <v>壹仟肆佰贰拾壹万元整</v>
      </c>
      <c r="G119" s="3203"/>
      <c r="H119" s="3201" t="str">
        <f ca="1">NUMBERSTRING(INT(H118*10000),2)&amp;"元整"</f>
        <v>叁仟贰佰零捌万元整</v>
      </c>
      <c r="I119" s="3203"/>
    </row>
    <row r="120" spans="1:11" ht="18.75" customHeight="1">
      <c r="A120" s="3229" t="str">
        <f>IF(项目基本情况!B9="房地产市场价值","",MID(E103,3,LEN(E103)-2))</f>
        <v>估价师知悉的法定优先受偿款</v>
      </c>
      <c r="B120" s="3230"/>
      <c r="C120" s="3231"/>
      <c r="D120" s="3229">
        <f>H103</f>
        <v>0</v>
      </c>
      <c r="E120" s="3230"/>
      <c r="F120" s="3230"/>
      <c r="G120" s="3230"/>
      <c r="H120" s="3230"/>
      <c r="I120" s="3231"/>
      <c r="K120" s="2427" t="str">
        <f>IF(D120=0,"故，本次评估不存在"&amp;A120,"故，本次评估"&amp;A120&amp;"为人民币"&amp;D120&amp;"万元整。")</f>
        <v>故，本次评估不存在估价师知悉的法定优先受偿款</v>
      </c>
    </row>
    <row r="121" spans="1:11" ht="18.75" customHeight="1">
      <c r="A121" s="3205" t="s">
        <v>2318</v>
      </c>
      <c r="B121" s="3206"/>
      <c r="C121" s="3207"/>
      <c r="D121" s="3201" t="str">
        <f>IF(D120=0,"零元整",NUMBERSTRING(INT(D120*10000),2)&amp;"元整")</f>
        <v>零元整</v>
      </c>
      <c r="E121" s="3202"/>
      <c r="F121" s="3202"/>
      <c r="G121" s="3202"/>
      <c r="H121" s="3202"/>
      <c r="I121" s="3203"/>
    </row>
    <row r="122" spans="1:11" ht="18.75" customHeight="1">
      <c r="A122" s="3192" t="str">
        <f>IF(项目基本情况!B9="房地产市场价值","",MID(E107,3,LEN(E107)-2))</f>
        <v>房地产抵押价值</v>
      </c>
      <c r="B122" s="3192"/>
      <c r="C122" s="3192"/>
      <c r="D122" s="3229">
        <f ca="1">H107</f>
        <v>3208</v>
      </c>
      <c r="E122" s="3230"/>
      <c r="F122" s="3230"/>
      <c r="G122" s="3230"/>
      <c r="H122" s="3230"/>
      <c r="I122" s="3231"/>
    </row>
    <row r="123" spans="1:11" ht="18.75" customHeight="1">
      <c r="A123" s="3077" t="s">
        <v>2318</v>
      </c>
      <c r="B123" s="3077"/>
      <c r="C123" s="3077"/>
      <c r="D123" s="3201" t="str">
        <f ca="1">NUMBERSTRING(INT(D122*10000),2)&amp;"元整"</f>
        <v>叁仟贰佰零捌万元整</v>
      </c>
      <c r="E123" s="3202"/>
      <c r="F123" s="3202"/>
      <c r="G123" s="3202"/>
      <c r="H123" s="3202"/>
      <c r="I123" s="3203"/>
    </row>
    <row r="124" spans="1:11" ht="18.75" customHeight="1">
      <c r="A124" s="3192" t="str">
        <f>IF(项目基本情况!B9="房地产市场价值","",MID(E109,3,LEN(E109)-2))</f>
        <v/>
      </c>
      <c r="B124" s="3192"/>
      <c r="C124" s="3192"/>
      <c r="D124" s="3229" t="str">
        <f>H109</f>
        <v>——</v>
      </c>
      <c r="E124" s="3230"/>
      <c r="F124" s="3230"/>
      <c r="G124" s="3230"/>
      <c r="H124" s="3230"/>
      <c r="I124" s="3231"/>
    </row>
    <row r="125" spans="1:11" ht="18.75" customHeight="1">
      <c r="A125" s="3077" t="s">
        <v>2318</v>
      </c>
      <c r="B125" s="3077"/>
      <c r="C125" s="3077"/>
      <c r="D125" s="3201" t="e">
        <f>NUMBERSTRING(INT(D124*10000),2)&amp;"元整"</f>
        <v>#VALUE!</v>
      </c>
      <c r="E125" s="3202"/>
      <c r="F125" s="3202"/>
      <c r="G125" s="3202"/>
      <c r="H125" s="3202"/>
      <c r="I125" s="3203"/>
    </row>
    <row r="126" spans="1:11" ht="18.75" customHeight="1">
      <c r="A126" s="3192" t="str">
        <f>IF(项目基本情况!B9="房地产市场价值","",MID(E111,3,LEN(E111)-2))</f>
        <v/>
      </c>
      <c r="B126" s="3192"/>
      <c r="C126" s="3192"/>
      <c r="D126" s="3229" t="str">
        <f>H111</f>
        <v>——</v>
      </c>
      <c r="E126" s="3230"/>
      <c r="F126" s="3230"/>
      <c r="G126" s="3230"/>
      <c r="H126" s="3230"/>
      <c r="I126" s="3231"/>
    </row>
    <row r="127" spans="1:11" ht="18.75" customHeight="1">
      <c r="A127" s="3077" t="s">
        <v>2318</v>
      </c>
      <c r="B127" s="3077"/>
      <c r="C127" s="3077"/>
      <c r="D127" s="3201" t="e">
        <f>NUMBERSTRING(INT(D126*10000),2)&amp;"元整"</f>
        <v>#VALUE!</v>
      </c>
      <c r="E127" s="3202"/>
      <c r="F127" s="3202"/>
      <c r="G127" s="3202"/>
      <c r="H127" s="3202"/>
      <c r="I127" s="3203"/>
    </row>
    <row r="128" spans="1:11" ht="21.75" customHeight="1">
      <c r="A128" s="3211" t="s">
        <v>2319</v>
      </c>
      <c r="B128" s="3211"/>
      <c r="C128" s="3211"/>
      <c r="D128" s="3211"/>
      <c r="E128" s="3211"/>
      <c r="F128" s="3211"/>
      <c r="G128" s="3211"/>
      <c r="H128" s="3211"/>
      <c r="I128" s="3211"/>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9" sqref="J2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48</v>
      </c>
      <c r="D1" s="2422"/>
      <c r="E1" s="2422"/>
      <c r="F1" s="2424" t="s">
        <v>2119</v>
      </c>
      <c r="G1" s="2074" t="s">
        <v>3248</v>
      </c>
      <c r="H1" s="2425" t="str">
        <f>IF(G1="现房","——","估价对象范围")</f>
        <v>——</v>
      </c>
      <c r="I1" s="2426"/>
    </row>
    <row r="2" spans="1:12" ht="21.75" customHeight="1" thickBot="1">
      <c r="A2" s="3183" t="str">
        <f>项目基本情况!S2</f>
        <v>房地产</v>
      </c>
      <c r="B2" s="3184"/>
      <c r="C2" s="3184"/>
      <c r="D2" s="3184"/>
      <c r="E2" s="3184"/>
      <c r="F2" s="3184"/>
      <c r="G2" s="3184"/>
      <c r="H2" s="3184"/>
      <c r="I2" s="3185"/>
    </row>
    <row r="3" spans="1:12" ht="12.75">
      <c r="A3" s="3187" t="s">
        <v>2120</v>
      </c>
      <c r="B3" s="3188"/>
      <c r="C3" s="3188"/>
      <c r="D3" s="3188"/>
      <c r="E3" s="3188"/>
      <c r="F3" s="3188"/>
      <c r="G3" s="3188"/>
      <c r="H3" s="3188"/>
      <c r="I3" s="3188"/>
    </row>
    <row r="4" spans="1:12" ht="14.25">
      <c r="A4" s="2429" t="s">
        <v>2121</v>
      </c>
      <c r="B4" s="2430" t="s">
        <v>2122</v>
      </c>
      <c r="C4" s="2431" t="s">
        <v>3265</v>
      </c>
      <c r="D4" s="2431" t="s">
        <v>3234</v>
      </c>
      <c r="E4" s="3180" t="s">
        <v>2123</v>
      </c>
      <c r="F4" s="3181"/>
      <c r="G4" s="3181"/>
      <c r="H4" s="3181"/>
      <c r="I4" s="3189"/>
      <c r="K4" s="2432" t="str">
        <f>IF(ISNUMBER(FIND("比较法",'结果表-车库'!C4)),"比较法",IF(ISNUMBER(FIND("成本法",'结果表-车库'!C4)),"成本法",IF(ISNUMBER(FIND("假设开发法",'结果表-车库'!C4)),"假设开发法",IF(ISNUMBER(FIND("收益法",'结果表-车库'!C4)),"收益法","基准地价系数修正法"))))</f>
        <v>比较法</v>
      </c>
      <c r="L4" s="243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63" t="s">
        <v>2124</v>
      </c>
      <c r="B5" s="3077">
        <v>25</v>
      </c>
      <c r="C5" s="3166"/>
      <c r="D5" s="3186"/>
      <c r="E5" s="140" t="s">
        <v>2125</v>
      </c>
      <c r="F5" s="2433"/>
      <c r="G5" s="2433"/>
      <c r="H5" s="2433"/>
      <c r="I5" s="1834"/>
    </row>
    <row r="6" spans="1:12" ht="12.75">
      <c r="A6" s="3163"/>
      <c r="B6" s="3077"/>
      <c r="C6" s="3167"/>
      <c r="D6" s="3186"/>
      <c r="E6" s="140" t="s">
        <v>2126</v>
      </c>
      <c r="F6" s="2433"/>
      <c r="G6" s="2433"/>
      <c r="H6" s="2433"/>
      <c r="I6" s="1834"/>
    </row>
    <row r="7" spans="1:12" ht="12.75">
      <c r="A7" s="3163"/>
      <c r="B7" s="3077"/>
      <c r="C7" s="3168"/>
      <c r="D7" s="3186"/>
      <c r="E7" s="140" t="s">
        <v>2127</v>
      </c>
      <c r="F7" s="2433"/>
      <c r="G7" s="2433"/>
      <c r="H7" s="2433"/>
      <c r="I7" s="1834"/>
    </row>
    <row r="8" spans="1:12" ht="12.75">
      <c r="A8" s="3163" t="s">
        <v>2128</v>
      </c>
      <c r="B8" s="3077">
        <v>15</v>
      </c>
      <c r="C8" s="3166"/>
      <c r="D8" s="3186"/>
      <c r="E8" s="140" t="s">
        <v>2129</v>
      </c>
      <c r="F8" s="2433"/>
      <c r="G8" s="2433"/>
      <c r="H8" s="2433"/>
      <c r="I8" s="1834"/>
    </row>
    <row r="9" spans="1:12" ht="12.75">
      <c r="A9" s="3163"/>
      <c r="B9" s="3077"/>
      <c r="C9" s="3168"/>
      <c r="D9" s="3186"/>
      <c r="E9" s="140" t="s">
        <v>2130</v>
      </c>
      <c r="F9" s="2433"/>
      <c r="G9" s="2433"/>
      <c r="H9" s="2433"/>
      <c r="I9" s="1834"/>
    </row>
    <row r="10" spans="1:12" ht="12.75">
      <c r="A10" s="3163" t="s">
        <v>2131</v>
      </c>
      <c r="B10" s="3077">
        <v>15</v>
      </c>
      <c r="C10" s="3166"/>
      <c r="D10" s="3186"/>
      <c r="E10" s="140" t="s">
        <v>2132</v>
      </c>
      <c r="F10" s="2433"/>
      <c r="G10" s="2433"/>
      <c r="H10" s="2433"/>
      <c r="I10" s="1834"/>
    </row>
    <row r="11" spans="1:12" ht="12.75">
      <c r="A11" s="3163"/>
      <c r="B11" s="3077"/>
      <c r="C11" s="3168"/>
      <c r="D11" s="3186"/>
      <c r="E11" s="140" t="s">
        <v>2133</v>
      </c>
      <c r="F11" s="2433"/>
      <c r="G11" s="2433"/>
      <c r="H11" s="2433"/>
      <c r="I11" s="1834"/>
    </row>
    <row r="12" spans="1:12" ht="12.75">
      <c r="A12" s="3163" t="s">
        <v>2134</v>
      </c>
      <c r="B12" s="3077">
        <v>15</v>
      </c>
      <c r="C12" s="3166"/>
      <c r="D12" s="3186"/>
      <c r="E12" s="140" t="s">
        <v>2135</v>
      </c>
      <c r="F12" s="2433"/>
      <c r="G12" s="2433"/>
      <c r="H12" s="2433"/>
      <c r="I12" s="1834"/>
    </row>
    <row r="13" spans="1:12" ht="12.75">
      <c r="A13" s="3163"/>
      <c r="B13" s="3077"/>
      <c r="C13" s="3168"/>
      <c r="D13" s="3186"/>
      <c r="E13" s="140" t="s">
        <v>2136</v>
      </c>
      <c r="F13" s="2433"/>
      <c r="G13" s="2433"/>
      <c r="H13" s="2433"/>
      <c r="I13" s="1834"/>
    </row>
    <row r="14" spans="1:12" ht="12.75">
      <c r="A14" s="3163" t="s">
        <v>2137</v>
      </c>
      <c r="B14" s="3077">
        <v>30</v>
      </c>
      <c r="C14" s="3166">
        <v>4</v>
      </c>
      <c r="D14" s="3186">
        <v>6</v>
      </c>
      <c r="E14" s="140" t="s">
        <v>2138</v>
      </c>
      <c r="F14" s="2433"/>
      <c r="G14" s="2433"/>
      <c r="H14" s="2433"/>
      <c r="I14" s="1834"/>
    </row>
    <row r="15" spans="1:12" ht="12.75">
      <c r="A15" s="3163"/>
      <c r="B15" s="3077"/>
      <c r="C15" s="3167"/>
      <c r="D15" s="3186"/>
      <c r="E15" s="140" t="s">
        <v>2139</v>
      </c>
      <c r="F15" s="2433"/>
      <c r="G15" s="2433"/>
      <c r="H15" s="2433"/>
      <c r="I15" s="1834"/>
    </row>
    <row r="16" spans="1:12" ht="12.75">
      <c r="A16" s="3163"/>
      <c r="B16" s="3077"/>
      <c r="C16" s="3168"/>
      <c r="D16" s="3186"/>
      <c r="E16" s="140" t="s">
        <v>2140</v>
      </c>
      <c r="F16" s="2433"/>
      <c r="G16" s="2433"/>
      <c r="H16" s="2433"/>
      <c r="I16" s="1834"/>
    </row>
    <row r="17" spans="1:35" ht="15">
      <c r="A17" s="2434" t="s">
        <v>2141</v>
      </c>
      <c r="B17" s="64"/>
      <c r="C17" s="141">
        <f>SUM(C5:C16)</f>
        <v>4</v>
      </c>
      <c r="D17" s="141">
        <f>SUM(D5:D16)</f>
        <v>6</v>
      </c>
      <c r="E17" s="138"/>
      <c r="F17" s="138"/>
      <c r="G17" s="138"/>
      <c r="H17" s="138"/>
      <c r="I17" s="138"/>
      <c r="K17" s="2432"/>
      <c r="L17" s="2435" t="s">
        <v>2142</v>
      </c>
      <c r="M17" s="2435" t="s">
        <v>2143</v>
      </c>
    </row>
    <row r="18" spans="1:35" ht="15.75" thickBot="1">
      <c r="A18" s="2436" t="s">
        <v>2144</v>
      </c>
      <c r="B18" s="2437"/>
      <c r="C18" s="142">
        <f>ROUND(C17/SUM(C17:D17),2)</f>
        <v>0.4</v>
      </c>
      <c r="D18" s="142">
        <f>1-C18</f>
        <v>0.6</v>
      </c>
      <c r="E18" s="138"/>
      <c r="F18" s="138"/>
      <c r="G18" s="138"/>
      <c r="H18" s="138"/>
      <c r="I18" s="138"/>
      <c r="K18" s="2432" t="s">
        <v>2145</v>
      </c>
      <c r="L18" s="2432">
        <f>IF(C1="",'数据-汇总表'!E3,SUMIF(项目类型,C1,'数据-汇总表'!E17:E26)+SUMIF(项目类型,C1,'数据-汇总表'!I17:I26))</f>
        <v>0</v>
      </c>
      <c r="M18" s="2432">
        <f>IF(C1="",'数据-汇总表'!E3,SUMIF(项目类型,C1,'数据-汇总表'!E17:E26))</f>
        <v>0</v>
      </c>
    </row>
    <row r="19" spans="1:35" ht="15">
      <c r="A19" s="2438" t="s">
        <v>2146</v>
      </c>
      <c r="B19" s="2439" t="s">
        <v>2147</v>
      </c>
      <c r="C19" s="143">
        <f ca="1">SUMIF(INDIRECT("'"&amp;C4&amp;"'"&amp;"!A:A"),'结果表-车库'!B19,INDIRECT("'"&amp;C4&amp;"'"&amp;"!B:B"))</f>
        <v>0</v>
      </c>
      <c r="D19" s="144">
        <f ca="1">SUMIF(INDIRECT("'"&amp;D4&amp;"'"&amp;"!A:A"),'结果表-车库'!B19,INDIRECT("'"&amp;D4&amp;"'"&amp;"!B:B"))</f>
        <v>0</v>
      </c>
      <c r="E19" s="2438" t="s">
        <v>2148</v>
      </c>
      <c r="F19" s="2439" t="s">
        <v>2147</v>
      </c>
      <c r="G19" s="145">
        <f ca="1">ROUND(C19*$C$18+D19*$D$18,0)</f>
        <v>0</v>
      </c>
      <c r="H19" s="2440" t="s">
        <v>2149</v>
      </c>
      <c r="I19" s="138"/>
      <c r="K19" s="2432" t="s">
        <v>2150</v>
      </c>
      <c r="L19" s="2432">
        <f>IF(C1="",'数据-汇总表'!D3,SUMIF(项目类型,C1,'数据-汇总表'!D17:D26)+SUMIF(项目类型,C1,'数据-汇总表'!H17:H27))</f>
        <v>0</v>
      </c>
      <c r="M19" s="2432">
        <f>IF(C1="",'数据-汇总表'!D3,SUMIF(项目类型,C1,'数据-汇总表'!D17:D26))</f>
        <v>0</v>
      </c>
    </row>
    <row r="20" spans="1:35" ht="15">
      <c r="A20" s="2441"/>
      <c r="B20" s="1250" t="s">
        <v>2151</v>
      </c>
      <c r="C20" s="146">
        <f ca="1">SUMIF(INDIRECT("'"&amp;C4&amp;"'"&amp;"!A:A"),'结果表-车库'!B20,INDIRECT("'"&amp;C4&amp;"'"&amp;"!B:B"))</f>
        <v>4473</v>
      </c>
      <c r="D20" s="147">
        <f ca="1">SUMIF(INDIRECT("'"&amp;D4&amp;"'"&amp;"!A:A"),'结果表-车库'!B20,INDIRECT("'"&amp;D4&amp;"'"&amp;"!B:B"))</f>
        <v>0</v>
      </c>
      <c r="E20" s="2441"/>
      <c r="F20" s="1250" t="s">
        <v>2151</v>
      </c>
      <c r="G20" s="148">
        <f ca="1">ROUND(C20*$C$18+D20*$D$18,0)</f>
        <v>1789</v>
      </c>
      <c r="H20" s="983" t="s">
        <v>2152</v>
      </c>
      <c r="I20" s="138"/>
    </row>
    <row r="21" spans="1:35" ht="15" customHeight="1" thickBot="1">
      <c r="A21" s="1003"/>
      <c r="B21" s="2442" t="s">
        <v>2153</v>
      </c>
      <c r="C21" s="789" t="e">
        <f ca="1">ROUND(C19*10000/L19,0)</f>
        <v>#DIV/0!</v>
      </c>
      <c r="D21" s="790" t="e">
        <f ca="1">ROUND(D19*10000/L19,0)</f>
        <v>#DIV/0!</v>
      </c>
      <c r="E21" s="1003"/>
      <c r="F21" s="2442" t="s">
        <v>2153</v>
      </c>
      <c r="G21" s="149" t="e">
        <f ca="1">ROUND(G19*10000/L19,0)</f>
        <v>#DIV/0!</v>
      </c>
      <c r="H21" s="2443" t="s">
        <v>2152</v>
      </c>
      <c r="I21" s="138"/>
    </row>
    <row r="22" spans="1:35" ht="15" thickBot="1">
      <c r="A22" s="2284" t="s">
        <v>2154</v>
      </c>
      <c r="B22" s="2444"/>
      <c r="C22" s="2445"/>
      <c r="D22" s="791" t="e">
        <f ca="1">IF(C19&lt;D19,D19/C19-1,C19/D19-1)</f>
        <v>#DIV/0!</v>
      </c>
      <c r="E22" s="138"/>
      <c r="F22" s="138"/>
      <c r="G22" s="138"/>
      <c r="H22" s="138"/>
      <c r="I22" s="138"/>
    </row>
    <row r="23" spans="1:35" ht="13.5" thickBot="1">
      <c r="A23" s="2422"/>
      <c r="B23" s="2422"/>
      <c r="C23" s="2422"/>
      <c r="D23" s="2422"/>
      <c r="E23" s="138"/>
      <c r="F23" s="138"/>
      <c r="G23" s="138"/>
      <c r="H23" s="138"/>
      <c r="I23" s="138"/>
    </row>
    <row r="24" spans="1:35" ht="14.25">
      <c r="A24" s="3157" t="s">
        <v>2155</v>
      </c>
      <c r="B24" s="2439" t="s">
        <v>2147</v>
      </c>
      <c r="C24" s="145">
        <f>IF(B30=0,0,D30)</f>
        <v>0</v>
      </c>
      <c r="D24" s="2446"/>
      <c r="E24" s="138"/>
      <c r="F24" s="138"/>
      <c r="G24" s="138"/>
      <c r="H24" s="138"/>
      <c r="I24" s="138"/>
    </row>
    <row r="25" spans="1:35" ht="14.25">
      <c r="A25" s="3158"/>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0</v>
      </c>
      <c r="D32" s="2453" t="s">
        <v>2162</v>
      </c>
      <c r="E32" s="138"/>
      <c r="F32" s="138"/>
      <c r="G32" s="138"/>
      <c r="H32" s="138"/>
      <c r="I32" s="138"/>
    </row>
    <row r="33" spans="1:15" ht="15">
      <c r="A33" s="960" t="s">
        <v>2163</v>
      </c>
      <c r="B33" s="2454"/>
      <c r="C33" s="2455"/>
      <c r="D33" s="2456"/>
      <c r="E33" s="2457" t="s">
        <v>2164</v>
      </c>
      <c r="F33" s="2948" t="str">
        <f>IF(D32="楼面单价","取值（单价）","取值（总价）")</f>
        <v>取值（总价）</v>
      </c>
      <c r="G33" s="138"/>
      <c r="H33" s="138"/>
      <c r="I33" s="138"/>
    </row>
    <row r="34" spans="1:15" ht="15">
      <c r="A34" s="2459"/>
      <c r="B34" s="2460"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2166</v>
      </c>
      <c r="F34" s="1739"/>
      <c r="G34" s="138"/>
      <c r="H34" s="138"/>
      <c r="I34" s="138"/>
    </row>
    <row r="35" spans="1:15" ht="15.75" thickBot="1">
      <c r="A35" s="2462"/>
      <c r="B35" s="2463"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2168</v>
      </c>
      <c r="F35" s="163"/>
      <c r="G35" s="138"/>
      <c r="H35" s="138"/>
      <c r="I35" s="138"/>
    </row>
    <row r="36" spans="1:15" ht="15.75" thickBot="1">
      <c r="A36" s="3175" t="s">
        <v>2169</v>
      </c>
      <c r="B36" s="2465" t="s">
        <v>2170</v>
      </c>
      <c r="C36" s="154"/>
      <c r="D36" s="2466"/>
      <c r="E36" s="2467"/>
      <c r="F36" s="2468"/>
      <c r="G36" s="138"/>
      <c r="H36" s="138"/>
      <c r="I36" s="138"/>
    </row>
    <row r="37" spans="1:15" ht="15.75" thickBot="1">
      <c r="A37" s="3176"/>
      <c r="B37" s="2270" t="s">
        <v>2171</v>
      </c>
      <c r="C37" s="156"/>
      <c r="D37" s="1395"/>
      <c r="E37" s="1395"/>
      <c r="F37" s="2468"/>
      <c r="G37" s="138"/>
      <c r="H37" s="138"/>
      <c r="I37" s="138"/>
    </row>
    <row r="38" spans="1:15" ht="15.75" thickBot="1">
      <c r="A38" s="3177"/>
      <c r="B38" s="2469" t="s">
        <v>2172</v>
      </c>
      <c r="C38" s="727"/>
      <c r="D38" s="2470" t="s">
        <v>2173</v>
      </c>
      <c r="E38" s="1395"/>
      <c r="F38" s="2468"/>
      <c r="G38" s="138"/>
      <c r="H38" s="138"/>
      <c r="I38" s="138"/>
    </row>
    <row r="39" spans="1:15" ht="15">
      <c r="A39" s="2441" t="s">
        <v>2174</v>
      </c>
      <c r="B39" s="2471" t="s">
        <v>2157</v>
      </c>
      <c r="C39" s="2472" t="s">
        <v>2158</v>
      </c>
      <c r="D39" s="2472" t="s">
        <v>2177</v>
      </c>
      <c r="E39" s="2473" t="s">
        <v>2159</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154" t="s">
        <v>2183</v>
      </c>
      <c r="B45" s="3155"/>
      <c r="C45" s="3156"/>
      <c r="D45" s="164">
        <f ca="1">ROUND(H101*F45,0)</f>
        <v>0</v>
      </c>
      <c r="E45" s="165" t="s">
        <v>2184</v>
      </c>
      <c r="F45" s="166">
        <v>1</v>
      </c>
      <c r="G45" s="167" t="s">
        <v>2185</v>
      </c>
      <c r="H45" s="138"/>
      <c r="I45" s="138"/>
      <c r="J45" s="3214" t="s">
        <v>2186</v>
      </c>
      <c r="K45" s="3214"/>
      <c r="L45" s="3214"/>
      <c r="M45" s="3214"/>
      <c r="N45" s="3214"/>
      <c r="O45" s="3214"/>
    </row>
    <row r="46" spans="1:15" ht="14.25" customHeight="1">
      <c r="A46" s="3151" t="s">
        <v>2187</v>
      </c>
      <c r="B46" s="3152"/>
      <c r="C46" s="3152"/>
      <c r="D46" s="3152"/>
      <c r="E46" s="3152"/>
      <c r="F46" s="3152"/>
      <c r="G46" s="3153"/>
      <c r="H46" s="2484"/>
      <c r="I46" s="168"/>
      <c r="J46" s="2960">
        <v>1</v>
      </c>
      <c r="K46" s="3214" t="s">
        <v>2188</v>
      </c>
      <c r="L46" s="3214"/>
      <c r="M46" s="3234"/>
      <c r="N46" s="3234"/>
      <c r="O46" s="3234"/>
    </row>
    <row r="47" spans="1:15" ht="12" customHeight="1">
      <c r="A47" s="169" t="s">
        <v>2189</v>
      </c>
      <c r="B47" s="170"/>
      <c r="C47" s="171"/>
      <c r="D47" s="172" t="s">
        <v>2190</v>
      </c>
      <c r="E47" s="24" t="s">
        <v>2191</v>
      </c>
      <c r="F47" s="173" t="s">
        <v>2192</v>
      </c>
      <c r="G47" s="174" t="s">
        <v>2193</v>
      </c>
      <c r="H47" s="2484"/>
      <c r="I47" s="168"/>
      <c r="J47" s="2960">
        <v>2</v>
      </c>
      <c r="K47" s="3214" t="s">
        <v>2194</v>
      </c>
      <c r="L47" s="3214"/>
      <c r="M47" s="3235">
        <f>'数据-取费表'!B2</f>
        <v>43532</v>
      </c>
      <c r="N47" s="3235"/>
      <c r="O47" s="3235"/>
    </row>
    <row r="48" spans="1:15" ht="25.5">
      <c r="A48" s="3182" t="s">
        <v>2195</v>
      </c>
      <c r="B48" s="3165"/>
      <c r="C48" s="3165"/>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214" t="s">
        <v>2198</v>
      </c>
      <c r="L48" s="3214"/>
      <c r="M48" s="3236">
        <f ca="1">H101</f>
        <v>0</v>
      </c>
      <c r="N48" s="3236"/>
      <c r="O48" s="3236"/>
    </row>
    <row r="49" spans="1:35" ht="25.5" customHeight="1">
      <c r="A49" s="176" t="s">
        <v>2199</v>
      </c>
      <c r="B49" s="3150" t="s">
        <v>2200</v>
      </c>
      <c r="C49" s="3150"/>
      <c r="D49" s="177">
        <v>0</v>
      </c>
      <c r="E49" s="23" t="s">
        <v>2201</v>
      </c>
      <c r="F49" s="28" t="s">
        <v>34</v>
      </c>
      <c r="G49" s="3220"/>
      <c r="H49" s="138"/>
      <c r="I49" s="2487"/>
      <c r="J49" s="2960">
        <v>4</v>
      </c>
      <c r="K49" s="3214" t="str">
        <f>IF(项目基本情况!E8="房地产抵押价值","房地产抵押价值","抵押担保权已注销时的房地产抵押价值")</f>
        <v>房地产抵押价值</v>
      </c>
      <c r="L49" s="3214"/>
      <c r="M49" s="3236">
        <f ca="1">IF(项目基本情况!E8="房地产抵押价值",H107,H109)</f>
        <v>0</v>
      </c>
      <c r="N49" s="3236"/>
      <c r="O49" s="3236"/>
    </row>
    <row r="50" spans="1:35" ht="25.5" customHeight="1">
      <c r="A50" s="178"/>
      <c r="B50" s="3150" t="s">
        <v>2202</v>
      </c>
      <c r="C50" s="3150"/>
      <c r="D50" s="179"/>
      <c r="E50" s="31"/>
      <c r="F50" s="180"/>
      <c r="G50" s="3221"/>
      <c r="H50" s="138"/>
      <c r="I50" s="2487"/>
      <c r="J50" s="3214" t="s">
        <v>2203</v>
      </c>
      <c r="K50" s="3214"/>
      <c r="L50" s="3214"/>
      <c r="M50" s="3214"/>
      <c r="N50" s="3214"/>
      <c r="O50" s="3214"/>
    </row>
    <row r="51" spans="1:35" ht="12" customHeight="1">
      <c r="A51" s="181"/>
      <c r="B51" s="3150" t="s">
        <v>2204</v>
      </c>
      <c r="C51" s="3150"/>
      <c r="D51" s="182"/>
      <c r="E51" s="30"/>
      <c r="F51" s="180"/>
      <c r="G51" s="3222"/>
      <c r="H51" s="138"/>
      <c r="I51" s="2487"/>
      <c r="J51" s="2959" t="s">
        <v>2205</v>
      </c>
      <c r="K51" s="3214" t="s">
        <v>2206</v>
      </c>
      <c r="L51" s="3214"/>
      <c r="M51" s="2959" t="s">
        <v>2207</v>
      </c>
      <c r="N51" s="2959" t="s">
        <v>2208</v>
      </c>
      <c r="O51" s="2959" t="s">
        <v>2209</v>
      </c>
    </row>
    <row r="52" spans="1:35" ht="24" customHeight="1">
      <c r="A52" s="183" t="s">
        <v>2210</v>
      </c>
      <c r="B52" s="3150" t="s">
        <v>2211</v>
      </c>
      <c r="C52" s="3150"/>
      <c r="D52" s="182">
        <f ca="1">ROUND(D45*'数据-取费表'!B41/(1+'数据-取费表'!C42),0)</f>
        <v>0</v>
      </c>
      <c r="E52" s="11" t="s">
        <v>2212</v>
      </c>
      <c r="F52" s="184">
        <f>'数据-取费表'!B41</f>
        <v>5.6000000000000001E-2</v>
      </c>
      <c r="G52" s="2489"/>
      <c r="H52" s="138"/>
      <c r="I52" s="2487"/>
      <c r="J52" s="2960">
        <v>1</v>
      </c>
      <c r="K52" s="3215" t="s">
        <v>2213</v>
      </c>
      <c r="L52" s="3215"/>
      <c r="M52" s="1754">
        <f>D48</f>
        <v>0</v>
      </c>
      <c r="N52" s="2960" t="str">
        <f>E48</f>
        <v>销售额×税（费）率</v>
      </c>
      <c r="O52" s="1755" t="str">
        <f>F48</f>
        <v>免征</v>
      </c>
    </row>
    <row r="53" spans="1:35" ht="12" customHeight="1">
      <c r="A53" s="183" t="s">
        <v>2214</v>
      </c>
      <c r="B53" s="3173" t="s">
        <v>2215</v>
      </c>
      <c r="C53" s="3174"/>
      <c r="D53" s="182">
        <f ca="1">ROUND(D45*'数据-取费表'!B41/(1+'数据-取费表'!C42),0)</f>
        <v>0</v>
      </c>
      <c r="E53" s="11" t="s">
        <v>2212</v>
      </c>
      <c r="F53" s="184">
        <f>'数据-取费表'!B41</f>
        <v>5.6000000000000001E-2</v>
      </c>
      <c r="G53" s="2489"/>
      <c r="H53" s="138"/>
      <c r="I53" s="2487"/>
      <c r="J53" s="2960">
        <v>2</v>
      </c>
      <c r="K53" s="3215" t="s">
        <v>2216</v>
      </c>
      <c r="L53" s="3215"/>
      <c r="M53" s="1754">
        <f t="shared" ref="M53:O54" ca="1" si="0">D55</f>
        <v>0</v>
      </c>
      <c r="N53" s="2960" t="str">
        <f t="shared" si="0"/>
        <v>销售额×税（费）率</v>
      </c>
      <c r="O53" s="1755">
        <f t="shared" si="0"/>
        <v>5.1999999999999995E-4</v>
      </c>
    </row>
    <row r="54" spans="1:35" ht="12" customHeight="1">
      <c r="A54" s="183" t="s">
        <v>2217</v>
      </c>
      <c r="B54" s="3173" t="s">
        <v>2218</v>
      </c>
      <c r="C54" s="3174"/>
      <c r="D54" s="182">
        <f ca="1">C68</f>
        <v>0</v>
      </c>
      <c r="E54" s="30" t="s">
        <v>2219</v>
      </c>
      <c r="F54" s="184">
        <f>'数据-取费表'!B41</f>
        <v>5.6000000000000001E-2</v>
      </c>
      <c r="G54" s="2489"/>
      <c r="H54" s="2490"/>
      <c r="I54" s="2487"/>
      <c r="J54" s="2960">
        <v>3</v>
      </c>
      <c r="K54" s="3215" t="s">
        <v>2220</v>
      </c>
      <c r="L54" s="3215"/>
      <c r="M54" s="1754">
        <f t="shared" ca="1" si="0"/>
        <v>0</v>
      </c>
      <c r="N54" s="2960" t="str">
        <f t="shared" si="0"/>
        <v>增值额×税（费）率</v>
      </c>
      <c r="O54" s="1756" t="str">
        <f t="shared" si="0"/>
        <v>——</v>
      </c>
    </row>
    <row r="55" spans="1:35" ht="24" customHeight="1">
      <c r="A55" s="3164" t="s">
        <v>2221</v>
      </c>
      <c r="B55" s="3165"/>
      <c r="C55" s="3165"/>
      <c r="D55" s="185">
        <f ca="1">IF(H55="个人住宅",0,ROUND(D45*I55,0))</f>
        <v>0</v>
      </c>
      <c r="E55" s="11" t="s">
        <v>2222</v>
      </c>
      <c r="F55" s="184">
        <f>IF(H55="正常",I55,"免征")</f>
        <v>5.1999999999999995E-4</v>
      </c>
      <c r="G55" s="2489"/>
      <c r="H55" s="2486" t="s">
        <v>2223</v>
      </c>
      <c r="I55" s="186">
        <f>'数据-取费表'!B49</f>
        <v>5.1999999999999995E-4</v>
      </c>
      <c r="J55" s="2960" t="str">
        <f>IF(H59="非个人房产","",4)</f>
        <v/>
      </c>
      <c r="K55" s="3215" t="str">
        <f>IF(H59="非个人房产","——","个人所得税")</f>
        <v>——</v>
      </c>
      <c r="L55" s="3215"/>
      <c r="M55" s="1757" t="str">
        <f>D59</f>
        <v>——</v>
      </c>
      <c r="N55" s="2961" t="str">
        <f>E59</f>
        <v>——</v>
      </c>
      <c r="O55" s="1758" t="str">
        <f>F59</f>
        <v>——</v>
      </c>
    </row>
    <row r="56" spans="1:35" ht="24.75">
      <c r="A56" s="3164" t="s">
        <v>2224</v>
      </c>
      <c r="B56" s="3165"/>
      <c r="C56" s="3165"/>
      <c r="D56" s="185">
        <f ca="1">IF(H56="个人住宅",D57,D58)</f>
        <v>0</v>
      </c>
      <c r="E56" s="11" t="s">
        <v>2225</v>
      </c>
      <c r="F56" s="184" t="str">
        <f>IF(H56="正常",F58,"免征")</f>
        <v>——</v>
      </c>
      <c r="G56" s="2491" t="s">
        <v>2226</v>
      </c>
      <c r="H56" s="2492" t="s">
        <v>2223</v>
      </c>
      <c r="I56" s="2493"/>
      <c r="J56" s="2960" t="str">
        <f>IF(项目基本情况!K6="上海银行",IF(J55="",4,J55+1),"")</f>
        <v/>
      </c>
      <c r="K56" s="3238" t="str">
        <f>IF(项目基本情况!K6="上海银行","其他处置费用","")</f>
        <v/>
      </c>
      <c r="L56" s="3239"/>
      <c r="M56" s="1754" t="str">
        <f>IF(项目基本情况!K6="上海银行",M69,"")</f>
        <v/>
      </c>
      <c r="N56" s="3241" t="str">
        <f>IF(项目基本情况!K6="上海银行","包含处置中涉及的律师、诉讼、拍卖、评估等费用","")</f>
        <v/>
      </c>
      <c r="O56" s="3242"/>
    </row>
    <row r="57" spans="1:35" ht="12.75">
      <c r="A57" s="183" t="s">
        <v>2199</v>
      </c>
      <c r="B57" s="3180" t="s">
        <v>2227</v>
      </c>
      <c r="C57" s="3189"/>
      <c r="D57" s="187">
        <v>0</v>
      </c>
      <c r="E57" s="23" t="s">
        <v>2201</v>
      </c>
      <c r="F57" s="155"/>
      <c r="G57" s="2489"/>
      <c r="H57" s="2493"/>
      <c r="I57" s="2493"/>
      <c r="J57" s="3215">
        <f>IF(AND(J55="",J56=""),4,IF(项目基本情况!K6="上海银行",'结果表-车库'!J56+1,'结果表-车库'!J55+1))</f>
        <v>4</v>
      </c>
      <c r="K57" s="3215" t="s">
        <v>2228</v>
      </c>
      <c r="L57" s="2494" t="s">
        <v>2229</v>
      </c>
      <c r="M57" s="1759"/>
      <c r="N57" s="1760">
        <f ca="1">SUMIF(M52:M56,"&lt;9e307")</f>
        <v>0</v>
      </c>
      <c r="O57" s="2495"/>
      <c r="P57" s="1753" t="e">
        <f ca="1">N57/M49</f>
        <v>#DIV/0!</v>
      </c>
    </row>
    <row r="58" spans="1:35" ht="24.75">
      <c r="A58" s="183" t="s">
        <v>2210</v>
      </c>
      <c r="B58" s="3180" t="s">
        <v>2230</v>
      </c>
      <c r="C58" s="3181"/>
      <c r="D58" s="185">
        <f ca="1">IF(H58="转让取得",C81,C97)</f>
        <v>0</v>
      </c>
      <c r="E58" s="11" t="s">
        <v>2225</v>
      </c>
      <c r="F58" s="24" t="s">
        <v>34</v>
      </c>
      <c r="G58" s="2489"/>
      <c r="H58" s="2492" t="s">
        <v>2231</v>
      </c>
      <c r="I58" s="2493"/>
      <c r="J58" s="3215"/>
      <c r="K58" s="3215"/>
      <c r="L58" s="2494" t="s">
        <v>2232</v>
      </c>
      <c r="M58" s="1761"/>
      <c r="N58" s="2496" t="str">
        <f ca="1">NUMBERSTRING(INT(N57*10000),2)&amp;"元整"</f>
        <v>零元整</v>
      </c>
      <c r="O58" s="2497"/>
    </row>
    <row r="59" spans="1:35" ht="24.75" thickBot="1">
      <c r="A59" s="3218" t="s">
        <v>2233</v>
      </c>
      <c r="B59" s="3219"/>
      <c r="C59" s="3219"/>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216">
        <f>J57+1</f>
        <v>5</v>
      </c>
      <c r="K59" s="3215" t="s">
        <v>2235</v>
      </c>
      <c r="L59" s="2960" t="s">
        <v>2229</v>
      </c>
      <c r="M59" s="1762"/>
      <c r="N59" s="1763">
        <f ca="1">M49-N57</f>
        <v>0</v>
      </c>
      <c r="O59" s="2499"/>
    </row>
    <row r="60" spans="1:35" ht="12" customHeight="1">
      <c r="A60" s="2500"/>
      <c r="B60" s="2422"/>
      <c r="C60" s="2422"/>
      <c r="D60" s="2422"/>
      <c r="E60" s="2170"/>
      <c r="F60" s="2493"/>
      <c r="G60" s="2493"/>
      <c r="H60" s="2501"/>
      <c r="I60" s="138"/>
      <c r="J60" s="3217"/>
      <c r="K60" s="3215"/>
      <c r="L60" s="2494" t="s">
        <v>2232</v>
      </c>
      <c r="M60" s="1761"/>
      <c r="N60" s="2496" t="str">
        <f ca="1">NUMBERSTRING(INT(N59*10000),2)&amp;"元整"</f>
        <v>零元整</v>
      </c>
      <c r="O60" s="2497"/>
    </row>
    <row r="61" spans="1:35" ht="13.5" thickBot="1">
      <c r="A61" s="3162" t="s">
        <v>2236</v>
      </c>
      <c r="B61" s="3162"/>
      <c r="C61" s="3162"/>
      <c r="D61" s="3162"/>
      <c r="E61" s="3162"/>
      <c r="F61" s="2493"/>
      <c r="G61" s="2493"/>
      <c r="H61" s="2501"/>
      <c r="I61" s="138"/>
      <c r="J61" s="2960">
        <f>J59+1</f>
        <v>6</v>
      </c>
      <c r="K61" s="3215" t="s">
        <v>2237</v>
      </c>
      <c r="L61" s="3215"/>
      <c r="M61" s="1764"/>
      <c r="N61" s="1765">
        <f ca="1">ROUND(N59*10000/'数据-汇总表'!E3,0)</f>
        <v>0</v>
      </c>
      <c r="O61" s="2502"/>
    </row>
    <row r="62" spans="1:35" ht="12.75">
      <c r="A62" s="3178" t="s">
        <v>2238</v>
      </c>
      <c r="B62" s="3179"/>
      <c r="C62" s="2955"/>
      <c r="D62" s="2955" t="s">
        <v>2239</v>
      </c>
      <c r="E62" s="192" t="s">
        <v>2240</v>
      </c>
      <c r="F62" s="2493"/>
      <c r="G62" s="2493"/>
      <c r="H62" s="2501"/>
      <c r="I62" s="138"/>
    </row>
    <row r="63" spans="1:35" ht="12.75">
      <c r="A63" s="203" t="s">
        <v>775</v>
      </c>
      <c r="B63" s="193" t="s">
        <v>2241</v>
      </c>
      <c r="C63" s="194">
        <f ca="1">ROUND((C64+C65)/(1+'数据-取费表'!C42),0)</f>
        <v>0</v>
      </c>
      <c r="D63" s="195"/>
      <c r="E63" s="196"/>
      <c r="F63" s="2493"/>
      <c r="G63" s="2493"/>
      <c r="H63" s="2501"/>
      <c r="I63" s="138"/>
      <c r="J63" s="3240" t="s">
        <v>2242</v>
      </c>
      <c r="K63" s="2964" t="s">
        <v>2243</v>
      </c>
      <c r="L63" s="1752">
        <f ca="1">IF(M49&gt;10000,M49*0.5%,IF(AND(M49&gt;1000,M49&lt;=10000),M49*1%,IF(AND(M49&gt;100,M49&lt;=1000),M49*3%,IF(AND(M49&gt;10,M49&lt;=100),M49*5%,M49*8%))))</f>
        <v>0</v>
      </c>
      <c r="M63" s="24">
        <f ca="1">ROUND(L63,1)</f>
        <v>0</v>
      </c>
      <c r="Z63" s="2427"/>
      <c r="AI63" s="2428"/>
    </row>
    <row r="64" spans="1:35" ht="14.25" customHeight="1">
      <c r="A64" s="197" t="s">
        <v>770</v>
      </c>
      <c r="B64" s="198" t="s">
        <v>2244</v>
      </c>
      <c r="C64" s="199">
        <f ca="1">D45</f>
        <v>0</v>
      </c>
      <c r="D64" s="200" t="s">
        <v>32</v>
      </c>
      <c r="E64" s="201"/>
      <c r="F64" s="2493"/>
      <c r="G64" s="2493"/>
      <c r="H64" s="2501"/>
      <c r="I64" s="138"/>
      <c r="J64" s="3240"/>
      <c r="K64" s="2964" t="s">
        <v>2245</v>
      </c>
      <c r="L64" s="1752"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2246</v>
      </c>
      <c r="Z64" s="2427"/>
      <c r="AI64" s="2428"/>
    </row>
    <row r="65" spans="1:35" ht="14.25" customHeight="1">
      <c r="A65" s="197" t="s">
        <v>771</v>
      </c>
      <c r="B65" s="198" t="s">
        <v>2247</v>
      </c>
      <c r="C65" s="202"/>
      <c r="D65" s="200"/>
      <c r="E65" s="201"/>
      <c r="F65" s="2493"/>
      <c r="G65" s="2493"/>
      <c r="H65" s="2501"/>
      <c r="I65" s="138"/>
      <c r="J65" s="3240"/>
      <c r="K65" s="2964" t="s">
        <v>2248</v>
      </c>
      <c r="L65" s="1752" t="b">
        <f ca="1">IF(M49&gt;1000,M49*0.1%,IF(AND(M49&gt;500,M49&lt;=1000),M49*0.5%,IF(AND(M49&gt;50,M49&lt;=500),M49*1%,IF(AND(M49&gt;1,M49&lt;=50),M49*1.5%))))</f>
        <v>0</v>
      </c>
      <c r="M65" s="24">
        <f t="shared" ca="1" si="1"/>
        <v>0</v>
      </c>
      <c r="N65" s="138" t="s">
        <v>2246</v>
      </c>
      <c r="Z65" s="2427"/>
      <c r="AI65" s="2428"/>
    </row>
    <row r="66" spans="1:35" ht="14.25" customHeight="1">
      <c r="A66" s="203" t="s">
        <v>772</v>
      </c>
      <c r="B66" s="204" t="s">
        <v>2249</v>
      </c>
      <c r="C66" s="205"/>
      <c r="D66" s="206" t="s">
        <v>32</v>
      </c>
      <c r="E66" s="1776" t="s">
        <v>1367</v>
      </c>
      <c r="F66" s="2493"/>
      <c r="G66" s="2493"/>
      <c r="H66" s="2501"/>
      <c r="I66" s="138"/>
      <c r="J66" s="3240"/>
      <c r="K66" s="2964" t="s">
        <v>2250</v>
      </c>
      <c r="L66" s="1752">
        <f ca="1">M49*0.5%</f>
        <v>0</v>
      </c>
      <c r="M66" s="24">
        <f ca="1">IF(L66&gt;0.5,0.5,ROUND(L66,0))</f>
        <v>0</v>
      </c>
      <c r="N66" s="138" t="s">
        <v>2251</v>
      </c>
      <c r="Z66" s="2427"/>
      <c r="AI66" s="2428"/>
    </row>
    <row r="67" spans="1:35" ht="14.25" customHeight="1">
      <c r="A67" s="203" t="s">
        <v>773</v>
      </c>
      <c r="B67" s="204" t="s">
        <v>2252</v>
      </c>
      <c r="C67" s="207">
        <f ca="1">C63-C66</f>
        <v>0</v>
      </c>
      <c r="D67" s="200" t="s">
        <v>32</v>
      </c>
      <c r="E67" s="201"/>
      <c r="F67" s="2493"/>
      <c r="G67" s="2493"/>
      <c r="H67" s="2501"/>
      <c r="I67" s="138"/>
      <c r="J67" s="3240"/>
      <c r="K67" s="2964" t="s">
        <v>2253</v>
      </c>
      <c r="L67" s="1752"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7"/>
      <c r="AI67" s="2428"/>
    </row>
    <row r="68" spans="1:35" ht="14.25" customHeight="1" thickBot="1">
      <c r="A68" s="208" t="s">
        <v>774</v>
      </c>
      <c r="B68" s="209" t="s">
        <v>2254</v>
      </c>
      <c r="C68" s="210">
        <f ca="1">IF(C67&lt;=0,0,ROUND(C67*D68,0))</f>
        <v>0</v>
      </c>
      <c r="D68" s="211">
        <f>'数据-取费表'!B41</f>
        <v>5.6000000000000001E-2</v>
      </c>
      <c r="E68" s="212"/>
      <c r="F68" s="2493"/>
      <c r="G68" s="2493"/>
      <c r="H68" s="2501"/>
      <c r="I68" s="138"/>
      <c r="J68" s="3240"/>
      <c r="K68" s="2964" t="s">
        <v>2255</v>
      </c>
      <c r="L68" s="1752">
        <f ca="1">IF(M49&gt;10000,M49*0.5%,IF(AND(M49&gt;5000,M49&lt;=10000),M49*1%,IF(AND(M49&gt;1000,M49&lt;=5000),M49*2%,IF(AND(M49&gt;200,M49&lt;=1000),M49*3%,M49*5%))))</f>
        <v>0</v>
      </c>
      <c r="M68" s="24">
        <f ca="1">ROUND(L68,1)</f>
        <v>0</v>
      </c>
      <c r="Z68" s="2427"/>
      <c r="AI68" s="2428"/>
    </row>
    <row r="69" spans="1:35" s="2450" customFormat="1" ht="16.5" customHeight="1">
      <c r="A69" s="2504"/>
      <c r="B69" s="2505"/>
      <c r="C69" s="2506"/>
      <c r="D69" s="2507"/>
      <c r="E69" s="2508"/>
      <c r="F69" s="2170"/>
      <c r="G69" s="2170"/>
      <c r="H69" s="2169"/>
      <c r="I69" s="2422"/>
      <c r="J69" s="3240"/>
      <c r="K69" s="2964" t="s">
        <v>2256</v>
      </c>
      <c r="L69" s="2509"/>
      <c r="M69" s="24">
        <f ca="1">ROUND(SUM(M63:M68),0)</f>
        <v>0</v>
      </c>
      <c r="N69" s="1753" t="e">
        <f ca="1">M69/M49</f>
        <v>#DIV/0!</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99" t="s">
        <v>2257</v>
      </c>
      <c r="B70" s="3200"/>
      <c r="C70" s="3200"/>
      <c r="D70" s="3200"/>
      <c r="E70" s="3200"/>
      <c r="F70" s="3200"/>
      <c r="G70" s="3200"/>
      <c r="H70" s="320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78" t="s">
        <v>2238</v>
      </c>
      <c r="B71" s="3179"/>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0</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0</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73" t="s">
        <v>2266</v>
      </c>
      <c r="F76" s="3150"/>
      <c r="G76" s="3150"/>
      <c r="H76" s="319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0</v>
      </c>
      <c r="D78" s="226">
        <f>'数据-取费表'!B43</f>
        <v>6.000000000000001E-3</v>
      </c>
      <c r="E78" s="3159" t="s">
        <v>2271</v>
      </c>
      <c r="F78" s="3160"/>
      <c r="G78" s="3160"/>
      <c r="H78" s="316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2272</v>
      </c>
      <c r="C79" s="207">
        <f ca="1">C72-C73</f>
        <v>0</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0</v>
      </c>
      <c r="D80" s="200" t="s">
        <v>32</v>
      </c>
      <c r="E80" s="2965" t="str">
        <f ca="1">IF(C80&gt;=200%,"增值额超过扣除项目金额200%",IF(C80&gt;=100%,"增值额超过扣除项目金额100%，未超过200%",IF(C80&gt;=50%,"增值额超过扣除项目金额50%，未超过100%",IF(C80&lt;50%,"增值额未超过扣除项目金额50%"))))</f>
        <v>增值额未超过扣除项目金额50%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99" t="s">
        <v>2275</v>
      </c>
      <c r="B83" s="3200"/>
      <c r="C83" s="3200"/>
      <c r="D83" s="3200"/>
      <c r="E83" s="3200"/>
      <c r="F83" s="3200"/>
      <c r="G83" s="3200"/>
      <c r="H83" s="320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78" t="s">
        <v>2238</v>
      </c>
      <c r="B84" s="3179"/>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0</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0</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59" t="s">
        <v>2284</v>
      </c>
      <c r="F91" s="3160"/>
      <c r="G91" s="3160"/>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59" t="s">
        <v>2288</v>
      </c>
      <c r="F92" s="3160"/>
      <c r="G92" s="3160"/>
      <c r="H92" s="316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0</v>
      </c>
      <c r="D93" s="226">
        <f>'数据-取费表'!B43</f>
        <v>6.000000000000001E-3</v>
      </c>
      <c r="E93" s="3159" t="s">
        <v>2271</v>
      </c>
      <c r="F93" s="3160"/>
      <c r="G93" s="3160"/>
      <c r="H93" s="316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70" t="s">
        <v>2292</v>
      </c>
      <c r="F94" s="3171"/>
      <c r="G94" s="3171"/>
      <c r="H94" s="317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2272</v>
      </c>
      <c r="C95" s="207">
        <f ca="1">ROUND(C85-C86,0)</f>
        <v>0</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0</v>
      </c>
      <c r="D96" s="200" t="s">
        <v>32</v>
      </c>
      <c r="E96" s="2965" t="str">
        <f ca="1">IF(C96&gt;=200%,"增值额超过扣除项目金额200%",IF(C96&gt;=100%,"增值额超过扣除项目金额100%，未超过200%",IF(C96&gt;=50%,"增值额超过扣除项目金额50%，未超过100%",IF(C96&lt;50%,"增值额未超过扣除项目金额50%"))))</f>
        <v>增值额未超过扣除项目金额50%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0" t="s">
        <v>2294</v>
      </c>
      <c r="B100" s="3121"/>
      <c r="C100" s="3121"/>
      <c r="D100" s="3161"/>
      <c r="E100" s="3121" t="s">
        <v>2295</v>
      </c>
      <c r="F100" s="3121"/>
      <c r="G100" s="3121"/>
      <c r="H100" s="3161"/>
      <c r="I100" s="138"/>
    </row>
    <row r="101" spans="1:35" ht="18.75" customHeight="1">
      <c r="A101" s="3223" t="s">
        <v>2296</v>
      </c>
      <c r="B101" s="3224"/>
      <c r="C101" s="736" t="str">
        <f>C4</f>
        <v>比较法-车位</v>
      </c>
      <c r="D101" s="737" t="str">
        <f>D4</f>
        <v>收益法-车库</v>
      </c>
      <c r="E101" s="3237" t="s">
        <v>2297</v>
      </c>
      <c r="F101" s="3191"/>
      <c r="G101" s="2524" t="s">
        <v>2298</v>
      </c>
      <c r="H101" s="1048">
        <f ca="1">H118</f>
        <v>0</v>
      </c>
      <c r="I101" s="138"/>
    </row>
    <row r="102" spans="1:35" ht="18.75" customHeight="1">
      <c r="A102" s="3193" t="s">
        <v>2299</v>
      </c>
      <c r="B102" s="2524" t="s">
        <v>2298</v>
      </c>
      <c r="C102" s="736">
        <f ca="1">C19</f>
        <v>0</v>
      </c>
      <c r="D102" s="737">
        <f ca="1">D19</f>
        <v>0</v>
      </c>
      <c r="E102" s="3237"/>
      <c r="F102" s="3191"/>
      <c r="G102" s="2524" t="s">
        <v>2300</v>
      </c>
      <c r="H102" s="371" t="e">
        <f ca="1">I118</f>
        <v>#DIV/0!</v>
      </c>
      <c r="I102" s="138"/>
    </row>
    <row r="103" spans="1:35" ht="42.75" customHeight="1">
      <c r="A103" s="3193"/>
      <c r="B103" s="2524" t="s">
        <v>2300</v>
      </c>
      <c r="C103" s="738">
        <f ca="1">C20</f>
        <v>4473</v>
      </c>
      <c r="D103" s="739">
        <f ca="1">D20</f>
        <v>0</v>
      </c>
      <c r="E103" s="3232" t="s">
        <v>2301</v>
      </c>
      <c r="F103" s="3233"/>
      <c r="G103" s="2525" t="s">
        <v>2302</v>
      </c>
      <c r="H103" s="1048">
        <f>IF(D36="正常操作",H104+H105+H106,H105+H106)</f>
        <v>0</v>
      </c>
      <c r="I103" s="138"/>
    </row>
    <row r="104" spans="1:35" ht="18.75" customHeight="1">
      <c r="A104" s="3193" t="s">
        <v>2303</v>
      </c>
      <c r="B104" s="2526" t="s">
        <v>2298</v>
      </c>
      <c r="C104" s="740">
        <f ca="1">H118</f>
        <v>0</v>
      </c>
      <c r="D104" s="741"/>
      <c r="E104" s="2270" t="s">
        <v>2304</v>
      </c>
      <c r="F104" s="2262"/>
      <c r="G104" s="2525" t="s">
        <v>2302</v>
      </c>
      <c r="H104" s="1049">
        <f>IF(D36="同一抵押权人同一抵押物续贷",C36&amp;"（未扣减，详见特别提示）",C36)</f>
        <v>0</v>
      </c>
      <c r="I104" s="138"/>
    </row>
    <row r="105" spans="1:35" ht="18.75" customHeight="1" thickBot="1">
      <c r="A105" s="3194"/>
      <c r="B105" s="2527" t="s">
        <v>2300</v>
      </c>
      <c r="C105" s="742" t="e">
        <f ca="1">I118</f>
        <v>#DIV/0!</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0" t="str">
        <f>IF(项目基本情况!E8="已注销","——","3.房地产抵押价值")</f>
        <v>3.房地产抵押价值</v>
      </c>
      <c r="F107" s="3191"/>
      <c r="G107" s="2524" t="s">
        <v>2298</v>
      </c>
      <c r="H107" s="1048">
        <f ca="1">IF(E107="——","——",H101-H103)</f>
        <v>0</v>
      </c>
      <c r="I107" s="138"/>
    </row>
    <row r="108" spans="1:35" ht="18.75" customHeight="1">
      <c r="A108" s="138"/>
      <c r="B108" s="138"/>
      <c r="C108" s="138"/>
      <c r="D108" s="138"/>
      <c r="E108" s="3190"/>
      <c r="F108" s="3191"/>
      <c r="G108" s="2524" t="s">
        <v>2300</v>
      </c>
      <c r="H108" s="371">
        <f ca="1">ROUND(H107*10000/'数据-汇总表'!E3,0)</f>
        <v>0</v>
      </c>
      <c r="I108" s="138"/>
    </row>
    <row r="109" spans="1:35" ht="18.75" customHeight="1">
      <c r="A109" s="138"/>
      <c r="B109" s="138"/>
      <c r="C109" s="138"/>
      <c r="D109" s="138"/>
      <c r="E109" s="3190" t="str">
        <f>IF(项目基本情况!E8="已注销及未注销","4.抵押担保权已注销时的房地产抵押价值",IF(项目基本情况!E8="已注销","3.抵押担保权已注销时的房地产抵押价值","——"))</f>
        <v>——</v>
      </c>
      <c r="F109" s="3191"/>
      <c r="G109" s="2524" t="s">
        <v>2298</v>
      </c>
      <c r="H109" s="348" t="str">
        <f>IF(E109="——","——",H101-H105-H106)</f>
        <v>——</v>
      </c>
      <c r="I109" s="138"/>
    </row>
    <row r="110" spans="1:35" ht="18.75" customHeight="1">
      <c r="A110" s="138"/>
      <c r="B110" s="138"/>
      <c r="C110" s="138"/>
      <c r="D110" s="138"/>
      <c r="E110" s="3190"/>
      <c r="F110" s="3191"/>
      <c r="G110" s="2524" t="s">
        <v>2300</v>
      </c>
      <c r="H110" s="371" t="str">
        <f>IF(H109="——","——",ROUND(H109*10000/'数据-汇总表'!E3,0))</f>
        <v>——</v>
      </c>
      <c r="I110" s="138"/>
    </row>
    <row r="111" spans="1:35" ht="18.75" customHeight="1">
      <c r="A111" s="138"/>
      <c r="B111" s="138"/>
      <c r="C111" s="138"/>
      <c r="D111" s="138"/>
      <c r="E111" s="3225" t="str">
        <f>IF(项目基本情况!E9="抵押净值",IF(OR(项目基本情况!E8="已注销",项目基本情况!E8="房地产抵押价值"),"4.抵押净值","5.抵押净值"),"——")</f>
        <v>——</v>
      </c>
      <c r="F111" s="3226"/>
      <c r="G111" s="2524" t="s">
        <v>2298</v>
      </c>
      <c r="H111" s="1048" t="str">
        <f>IF(E111="——","——",N59)</f>
        <v>——</v>
      </c>
      <c r="I111" s="138"/>
    </row>
    <row r="112" spans="1:35" ht="18.75" customHeight="1" thickBot="1">
      <c r="A112" s="138"/>
      <c r="B112" s="138"/>
      <c r="C112" s="138"/>
      <c r="D112" s="138"/>
      <c r="E112" s="3227"/>
      <c r="F112" s="3228"/>
      <c r="G112" s="2529" t="s">
        <v>2300</v>
      </c>
      <c r="H112" s="790" t="str">
        <f>IF(E111="——","——",N61)</f>
        <v>——</v>
      </c>
      <c r="I112" s="138"/>
    </row>
    <row r="113" spans="1:11" ht="18.75" customHeight="1">
      <c r="A113" s="138"/>
      <c r="B113" s="138"/>
      <c r="C113" s="138"/>
      <c r="D113" s="138"/>
      <c r="E113" s="3195" t="s">
        <v>2306</v>
      </c>
      <c r="F113" s="3195"/>
      <c r="G113" s="3195"/>
      <c r="H113" s="3195"/>
      <c r="I113" s="138"/>
    </row>
    <row r="114" spans="1:11" ht="3.75" customHeight="1">
      <c r="A114" s="2422"/>
      <c r="B114" s="2422"/>
      <c r="C114" s="2422"/>
      <c r="D114" s="2422"/>
      <c r="E114" s="2500"/>
      <c r="F114" s="2500"/>
      <c r="G114" s="2500"/>
      <c r="H114" s="2500"/>
      <c r="I114" s="2422"/>
    </row>
    <row r="115" spans="1:11" ht="18.75" customHeight="1">
      <c r="A115" s="3208" t="s">
        <v>2308</v>
      </c>
      <c r="B115" s="3209"/>
      <c r="C115" s="3209"/>
      <c r="D115" s="3209"/>
      <c r="E115" s="3209"/>
      <c r="F115" s="3209"/>
      <c r="G115" s="3209"/>
      <c r="H115" s="3209"/>
      <c r="I115" s="3210"/>
    </row>
    <row r="116" spans="1:11" ht="27" customHeight="1">
      <c r="A116" s="3077" t="s">
        <v>2309</v>
      </c>
      <c r="B116" s="3196" t="s">
        <v>2310</v>
      </c>
      <c r="C116" s="3196" t="s">
        <v>2311</v>
      </c>
      <c r="D116" s="3212" t="s">
        <v>2312</v>
      </c>
      <c r="E116" s="3213"/>
      <c r="F116" s="3204" t="s">
        <v>2313</v>
      </c>
      <c r="G116" s="3204"/>
      <c r="H116" s="3077" t="s">
        <v>2314</v>
      </c>
      <c r="I116" s="3077"/>
    </row>
    <row r="117" spans="1:11" ht="18.75" customHeight="1">
      <c r="A117" s="3077"/>
      <c r="B117" s="3197"/>
      <c r="C117" s="3197"/>
      <c r="D117" s="2947" t="s">
        <v>2315</v>
      </c>
      <c r="E117" s="2947" t="s">
        <v>2316</v>
      </c>
      <c r="F117" s="2947" t="s">
        <v>2315</v>
      </c>
      <c r="G117" s="2947" t="s">
        <v>2317</v>
      </c>
      <c r="H117" s="2947" t="s">
        <v>2315</v>
      </c>
      <c r="I117" s="2947" t="s">
        <v>2317</v>
      </c>
    </row>
    <row r="118" spans="1:11" ht="24.75" customHeight="1">
      <c r="A118" s="2530" t="str">
        <f>项目基本情况!S2</f>
        <v>房地产</v>
      </c>
      <c r="B118" s="2947">
        <f>M18</f>
        <v>0</v>
      </c>
      <c r="C118" s="2947">
        <f>M19</f>
        <v>0</v>
      </c>
      <c r="D118" s="2947" t="e">
        <f ca="1">ROUND(IF(D32="总价",C34,E118*B118/10000),0)</f>
        <v>#REF!</v>
      </c>
      <c r="E118" s="2947" t="e">
        <f ca="1">ROUND(IF(C33="自定义",IF(D32="楼面单价",C34,D118*10000/B118),I118-G118),0)</f>
        <v>#DIV/0!</v>
      </c>
      <c r="F118" s="2947" t="e">
        <f ca="1">ROUND(IF(D32="总价",C35,G118*B118/10000),0)</f>
        <v>#REF!</v>
      </c>
      <c r="G118" s="2947" t="e">
        <f ca="1">ROUND(IF(D32="楼面单价",C35,F118*10000/B118),0)</f>
        <v>#REF!</v>
      </c>
      <c r="H118" s="2947">
        <f ca="1">ROUND(IF(D32="总价",C32,I118*B118/10000),0)</f>
        <v>0</v>
      </c>
      <c r="I118" s="2947" t="e">
        <f ca="1">ROUND(IF(D32="楼面单价",C32,H118*10000/B118),0)</f>
        <v>#DIV/0!</v>
      </c>
    </row>
    <row r="119" spans="1:11" ht="18.75" customHeight="1">
      <c r="A119" s="3077" t="s">
        <v>2318</v>
      </c>
      <c r="B119" s="3077"/>
      <c r="C119" s="3077"/>
      <c r="D119" s="3201" t="e">
        <f ca="1">NUMBERSTRING(INT(D118*10000),2)&amp;"元整"</f>
        <v>#REF!</v>
      </c>
      <c r="E119" s="3203"/>
      <c r="F119" s="3201" t="e">
        <f ca="1">NUMBERSTRING(INT(F118*10000),2)&amp;"元整"</f>
        <v>#REF!</v>
      </c>
      <c r="G119" s="3203"/>
      <c r="H119" s="3201" t="str">
        <f ca="1">NUMBERSTRING(INT(H118*10000),2)&amp;"元整"</f>
        <v>零元整</v>
      </c>
      <c r="I119" s="3203"/>
    </row>
    <row r="120" spans="1:11" ht="18.75" customHeight="1">
      <c r="A120" s="3229" t="str">
        <f>IF(项目基本情况!B9="房地产市场价值","",MID(E103,3,LEN(E103)-2))</f>
        <v>估价师知悉的法定优先受偿款</v>
      </c>
      <c r="B120" s="3230"/>
      <c r="C120" s="3231"/>
      <c r="D120" s="3229">
        <f>H103</f>
        <v>0</v>
      </c>
      <c r="E120" s="3230"/>
      <c r="F120" s="3230"/>
      <c r="G120" s="3230"/>
      <c r="H120" s="3230"/>
      <c r="I120" s="3231"/>
      <c r="K120" s="2427" t="str">
        <f>IF(D120=0,"故，本次评估不存在"&amp;A120,"故，本次评估"&amp;A120&amp;"为人民币"&amp;D120&amp;"万元整。")</f>
        <v>故，本次评估不存在估价师知悉的法定优先受偿款</v>
      </c>
    </row>
    <row r="121" spans="1:11" ht="18.75" customHeight="1">
      <c r="A121" s="3205" t="s">
        <v>2318</v>
      </c>
      <c r="B121" s="3206"/>
      <c r="C121" s="3207"/>
      <c r="D121" s="3201" t="str">
        <f>IF(D120=0,"零元整",NUMBERSTRING(INT(D120*10000),2)&amp;"元整")</f>
        <v>零元整</v>
      </c>
      <c r="E121" s="3202"/>
      <c r="F121" s="3202"/>
      <c r="G121" s="3202"/>
      <c r="H121" s="3202"/>
      <c r="I121" s="3203"/>
    </row>
    <row r="122" spans="1:11" ht="18.75" customHeight="1">
      <c r="A122" s="3192" t="str">
        <f>IF(项目基本情况!B9="房地产市场价值","",MID(E107,3,LEN(E107)-2))</f>
        <v>房地产抵押价值</v>
      </c>
      <c r="B122" s="3192"/>
      <c r="C122" s="3192"/>
      <c r="D122" s="3229">
        <f ca="1">H107</f>
        <v>0</v>
      </c>
      <c r="E122" s="3230"/>
      <c r="F122" s="3230"/>
      <c r="G122" s="3230"/>
      <c r="H122" s="3230"/>
      <c r="I122" s="3231"/>
    </row>
    <row r="123" spans="1:11" ht="18.75" customHeight="1">
      <c r="A123" s="3077" t="s">
        <v>2318</v>
      </c>
      <c r="B123" s="3077"/>
      <c r="C123" s="3077"/>
      <c r="D123" s="3201" t="str">
        <f ca="1">NUMBERSTRING(INT(D122*10000),2)&amp;"元整"</f>
        <v>零元整</v>
      </c>
      <c r="E123" s="3202"/>
      <c r="F123" s="3202"/>
      <c r="G123" s="3202"/>
      <c r="H123" s="3202"/>
      <c r="I123" s="3203"/>
    </row>
    <row r="124" spans="1:11" ht="18.75" customHeight="1">
      <c r="A124" s="3192" t="str">
        <f>IF(项目基本情况!B9="房地产市场价值","",MID(E109,3,LEN(E109)-2))</f>
        <v/>
      </c>
      <c r="B124" s="3192"/>
      <c r="C124" s="3192"/>
      <c r="D124" s="3229" t="str">
        <f>H109</f>
        <v>——</v>
      </c>
      <c r="E124" s="3230"/>
      <c r="F124" s="3230"/>
      <c r="G124" s="3230"/>
      <c r="H124" s="3230"/>
      <c r="I124" s="3231"/>
    </row>
    <row r="125" spans="1:11" ht="18.75" customHeight="1">
      <c r="A125" s="3077" t="s">
        <v>2318</v>
      </c>
      <c r="B125" s="3077"/>
      <c r="C125" s="3077"/>
      <c r="D125" s="3201" t="e">
        <f>NUMBERSTRING(INT(D124*10000),2)&amp;"元整"</f>
        <v>#VALUE!</v>
      </c>
      <c r="E125" s="3202"/>
      <c r="F125" s="3202"/>
      <c r="G125" s="3202"/>
      <c r="H125" s="3202"/>
      <c r="I125" s="3203"/>
    </row>
    <row r="126" spans="1:11" ht="18.75" customHeight="1">
      <c r="A126" s="3192" t="str">
        <f>IF(项目基本情况!B9="房地产市场价值","",MID(E111,3,LEN(E111)-2))</f>
        <v/>
      </c>
      <c r="B126" s="3192"/>
      <c r="C126" s="3192"/>
      <c r="D126" s="3229" t="str">
        <f>H111</f>
        <v>——</v>
      </c>
      <c r="E126" s="3230"/>
      <c r="F126" s="3230"/>
      <c r="G126" s="3230"/>
      <c r="H126" s="3230"/>
      <c r="I126" s="3231"/>
    </row>
    <row r="127" spans="1:11" ht="18.75" customHeight="1">
      <c r="A127" s="3077" t="s">
        <v>2318</v>
      </c>
      <c r="B127" s="3077"/>
      <c r="C127" s="3077"/>
      <c r="D127" s="3201" t="e">
        <f>NUMBERSTRING(INT(D126*10000),2)&amp;"元整"</f>
        <v>#VALUE!</v>
      </c>
      <c r="E127" s="3202"/>
      <c r="F127" s="3202"/>
      <c r="G127" s="3202"/>
      <c r="H127" s="3202"/>
      <c r="I127" s="3203"/>
    </row>
    <row r="128" spans="1:11" ht="21.75" customHeight="1">
      <c r="A128" s="3211" t="s">
        <v>2319</v>
      </c>
      <c r="B128" s="3211"/>
      <c r="C128" s="3211"/>
      <c r="D128" s="3211"/>
      <c r="E128" s="3211"/>
      <c r="F128" s="3211"/>
      <c r="G128" s="3211"/>
      <c r="H128" s="3211"/>
      <c r="I128" s="3211"/>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2" sqref="J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9</v>
      </c>
    </row>
    <row r="2" spans="1:9" s="244" customFormat="1" ht="18" customHeight="1">
      <c r="A2" s="245" t="s">
        <v>2328</v>
      </c>
      <c r="B2" s="246">
        <f ca="1">IF(D2="——",C52,C52-E2)</f>
        <v>22558</v>
      </c>
      <c r="C2" s="243" t="s">
        <v>2329</v>
      </c>
      <c r="D2" s="2553" t="s">
        <v>70</v>
      </c>
      <c r="E2" s="1443"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6636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5365</v>
      </c>
      <c r="D5" s="255" t="s">
        <v>2335</v>
      </c>
      <c r="E5" s="256" t="s">
        <v>2336</v>
      </c>
      <c r="F5" s="256" t="s">
        <v>2337</v>
      </c>
      <c r="G5" s="257"/>
    </row>
    <row r="6" spans="1:9" s="258" customFormat="1" ht="13.5" customHeight="1">
      <c r="A6" s="952" t="s">
        <v>2338</v>
      </c>
      <c r="B6" s="259" t="s">
        <v>2339</v>
      </c>
      <c r="C6" s="260">
        <f>'土地比较法-住宅、综合'!B2</f>
        <v>5206</v>
      </c>
      <c r="D6" s="261"/>
      <c r="E6" s="262"/>
      <c r="F6" s="262"/>
      <c r="G6" s="263"/>
    </row>
    <row r="7" spans="1:9" s="258" customFormat="1" ht="13.5" customHeight="1">
      <c r="A7" s="952" t="s">
        <v>2340</v>
      </c>
      <c r="B7" s="259" t="s">
        <v>2341</v>
      </c>
      <c r="C7" s="264">
        <f>ROUND(C6*F7,0)</f>
        <v>159</v>
      </c>
      <c r="D7" s="264"/>
      <c r="E7" s="262"/>
      <c r="F7" s="265">
        <f>'数据-取费表'!B48+'数据-取费表'!B49</f>
        <v>3.0519999999999999E-2</v>
      </c>
      <c r="G7" s="263"/>
    </row>
    <row r="8" spans="1:9" s="267" customFormat="1">
      <c r="A8" s="952" t="s">
        <v>2342</v>
      </c>
      <c r="B8" s="259" t="s">
        <v>2343</v>
      </c>
      <c r="C8" s="264">
        <f>IF(G8="已包含在土地购买价格中","0",IF(B1="",'数据-取费表'!B29,IF(G9="全部缴纳",C9+C10,H9)))</f>
        <v>0</v>
      </c>
      <c r="D8" s="266"/>
      <c r="E8" s="264"/>
      <c r="F8" s="265"/>
      <c r="G8" s="2556" t="s">
        <v>3250</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50</v>
      </c>
      <c r="F9" s="265"/>
      <c r="G9" s="2557" t="s">
        <v>3218</v>
      </c>
      <c r="H9" s="1393"/>
      <c r="I9" s="2558" t="s">
        <v>2345</v>
      </c>
    </row>
    <row r="10" spans="1:9" s="258" customFormat="1" ht="13.5" customHeight="1">
      <c r="A10" s="953" t="s">
        <v>801</v>
      </c>
      <c r="B10" s="268" t="s">
        <v>2346</v>
      </c>
      <c r="C10" s="269">
        <f ca="1">ROUND(D10*E10/10000,0)</f>
        <v>306</v>
      </c>
      <c r="D10" s="1035">
        <f ca="1">IF(B1="",'数据-汇总表'!E6,IF(INDIRECT("'数据-取费表'!c"&amp;$G$1)="住宅",INDIRECT("'数据-取费表'!s"&amp;$G$1),INDIRECT("'数据-取费表'!k"&amp;$G$1)+INDIRECT("'数据-取费表'!s"&amp;$G$1)))</f>
        <v>33991.919999999998</v>
      </c>
      <c r="E10" s="269">
        <f>'数据-取费表'!B28</f>
        <v>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33991.919999999998</v>
      </c>
      <c r="E19" s="255">
        <f>'数据-取费表'!B31</f>
        <v>200</v>
      </c>
      <c r="F19" s="275"/>
      <c r="G19" s="2556" t="s">
        <v>3249</v>
      </c>
    </row>
    <row r="20" spans="1:7" s="258" customFormat="1" ht="13.5" customHeight="1">
      <c r="A20" s="299" t="s">
        <v>2359</v>
      </c>
      <c r="B20" s="254" t="s">
        <v>2360</v>
      </c>
      <c r="C20" s="276">
        <f>ROUND((C5+C19)*F20,0)</f>
        <v>107</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527</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522</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5</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1094</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1094</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7696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12233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11218</v>
      </c>
      <c r="D34" s="261"/>
      <c r="E34" s="264"/>
      <c r="F34" s="301">
        <f ca="1">IF('数据-取费表'!B24=0,1,IF(B1="",'数据-取费表'!N16,INDIRECT("'数据-取费表'!n"&amp;$G$1)))</f>
        <v>1</v>
      </c>
      <c r="G34" s="263" t="s">
        <v>2392</v>
      </c>
    </row>
    <row r="35" spans="1:7" ht="13.5" customHeight="1">
      <c r="A35" s="954" t="s">
        <v>796</v>
      </c>
      <c r="B35" s="259" t="s">
        <v>2393</v>
      </c>
      <c r="C35" s="264">
        <f ca="1">ROUND(C34*F35,0)</f>
        <v>337</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510</v>
      </c>
      <c r="D37" s="261">
        <f ca="1">D19</f>
        <v>33991.919999999998</v>
      </c>
      <c r="E37" s="293">
        <f>'数据-取费表'!B35</f>
        <v>150</v>
      </c>
      <c r="F37" s="303"/>
      <c r="G37" s="305" t="s">
        <v>2398</v>
      </c>
    </row>
    <row r="38" spans="1:7" ht="13.5" customHeight="1">
      <c r="A38" s="954" t="s">
        <v>799</v>
      </c>
      <c r="B38" s="259" t="s">
        <v>2399</v>
      </c>
      <c r="C38" s="264">
        <f ca="1">ROUND(C34*F38,0)</f>
        <v>168</v>
      </c>
      <c r="D38" s="264"/>
      <c r="E38" s="264"/>
      <c r="F38" s="303">
        <f>'数据-取费表'!B36</f>
        <v>1.4999999999999999E-2</v>
      </c>
      <c r="G38" s="263" t="s">
        <v>2394</v>
      </c>
    </row>
    <row r="39" spans="1:7" s="258" customFormat="1" ht="13.5" customHeight="1">
      <c r="A39" s="299" t="s">
        <v>2400</v>
      </c>
      <c r="B39" s="254" t="s">
        <v>2401</v>
      </c>
      <c r="C39" s="276">
        <f ca="1">ROUND(C33*F20,0)</f>
        <v>245</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593</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581</v>
      </c>
      <c r="D42" s="282"/>
      <c r="E42" s="282"/>
      <c r="F42" s="283"/>
      <c r="G42" s="3243" t="s">
        <v>2410</v>
      </c>
    </row>
    <row r="43" spans="1:7" ht="13.5" customHeight="1">
      <c r="A43" s="954" t="s">
        <v>792</v>
      </c>
      <c r="B43" s="259" t="s">
        <v>2411</v>
      </c>
      <c r="C43" s="282">
        <f ca="1">ROUND(IF('数据-取费表'!B22&lt;=1,C39*F22*'数据-取费表'!B21/2,C39*(POWER((1+F22),'数据-取费表'!B21/2)-1)),0)</f>
        <v>12</v>
      </c>
      <c r="D43" s="282"/>
      <c r="E43" s="282"/>
      <c r="F43" s="283"/>
      <c r="G43" s="3244"/>
    </row>
    <row r="44" spans="1:7" ht="13.5" customHeight="1">
      <c r="A44" s="954" t="s">
        <v>793</v>
      </c>
      <c r="B44" s="259" t="s">
        <v>2412</v>
      </c>
      <c r="C44" s="282">
        <f ca="1">ROUND(IF('数据-取费表'!B22&lt;=1,C40*F22*'数据-取费表'!B21/2,C40*(POWER((1+F22),'数据-取费表'!B21/2)-1)),4)</f>
        <v>1E-3</v>
      </c>
      <c r="D44" s="282"/>
      <c r="E44" s="282"/>
      <c r="F44" s="283"/>
      <c r="G44" s="3245"/>
    </row>
    <row r="45" spans="1:7" s="258" customFormat="1" ht="13.5" customHeight="1">
      <c r="A45" s="299" t="s">
        <v>2413</v>
      </c>
      <c r="B45" s="288" t="s">
        <v>2379</v>
      </c>
      <c r="C45" s="289">
        <f ca="1">C46</f>
        <v>2496</v>
      </c>
      <c r="D45" s="279">
        <f ca="1">C47</f>
        <v>4.0000000000000001E-3</v>
      </c>
      <c r="E45" s="280" t="s">
        <v>2405</v>
      </c>
      <c r="F45" s="290"/>
      <c r="G45" s="291" t="s">
        <v>2414</v>
      </c>
    </row>
    <row r="46" spans="1:7" s="258" customFormat="1" ht="13.5" customHeight="1">
      <c r="A46" s="954" t="s">
        <v>791</v>
      </c>
      <c r="B46" s="292" t="s">
        <v>2415</v>
      </c>
      <c r="C46" s="293">
        <f ca="1">ROUND((C33+C39)*F27,0)</f>
        <v>2496</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16889</v>
      </c>
      <c r="D49" s="276"/>
      <c r="E49" s="276"/>
      <c r="F49" s="308"/>
      <c r="G49" s="278" t="s">
        <v>2420</v>
      </c>
    </row>
    <row r="50" spans="1:7" s="302" customFormat="1" ht="24">
      <c r="A50" s="299" t="s">
        <v>2421</v>
      </c>
      <c r="B50" s="254" t="s">
        <v>2422</v>
      </c>
      <c r="C50" s="276"/>
      <c r="D50" s="276"/>
      <c r="E50" s="276"/>
      <c r="F50" s="308">
        <f>IF('数据-取费表'!B24=0,'数据-取费表'!N16,1)</f>
        <v>0.88</v>
      </c>
      <c r="G50" s="291" t="s">
        <v>2423</v>
      </c>
    </row>
    <row r="51" spans="1:7" ht="16.5" customHeight="1">
      <c r="A51" s="299" t="s">
        <v>2424</v>
      </c>
      <c r="B51" s="254" t="s">
        <v>2425</v>
      </c>
      <c r="C51" s="276">
        <f ca="1">ROUND(C49*F50,0)</f>
        <v>14862</v>
      </c>
      <c r="D51" s="276"/>
      <c r="E51" s="276"/>
      <c r="F51" s="308"/>
      <c r="G51" s="278" t="s">
        <v>2426</v>
      </c>
    </row>
    <row r="52" spans="1:7" s="252" customFormat="1" ht="16.5" thickBot="1">
      <c r="A52" s="309" t="s">
        <v>2427</v>
      </c>
      <c r="B52" s="310"/>
      <c r="C52" s="311">
        <f ca="1">C31+C51</f>
        <v>22558</v>
      </c>
      <c r="D52" s="310"/>
      <c r="E52" s="310"/>
      <c r="F52" s="310"/>
      <c r="G52" s="312"/>
    </row>
    <row r="55" spans="1:7" ht="15">
      <c r="B55" s="314" t="s">
        <v>2428</v>
      </c>
      <c r="C55" s="315"/>
    </row>
    <row r="56" spans="1:7">
      <c r="B56" s="317" t="s">
        <v>1509</v>
      </c>
      <c r="C56" s="319">
        <f ca="1">1-C57</f>
        <v>0.34099999999999997</v>
      </c>
    </row>
    <row r="57" spans="1:7">
      <c r="B57" s="317" t="s">
        <v>1510</v>
      </c>
      <c r="C57" s="318">
        <f ca="1">ROUND(C51/C52,3)</f>
        <v>0.65900000000000003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27" sqref="I2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9"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22995</v>
      </c>
      <c r="C2" s="243" t="s">
        <v>2329</v>
      </c>
      <c r="D2" s="2553" t="s">
        <v>70</v>
      </c>
      <c r="E2" s="1443"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6765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56708144</v>
      </c>
      <c r="D5" s="255" t="s">
        <v>2335</v>
      </c>
      <c r="E5" s="256" t="s">
        <v>2336</v>
      </c>
      <c r="F5" s="256" t="s">
        <v>2337</v>
      </c>
      <c r="G5" s="257"/>
    </row>
    <row r="6" spans="1:8" s="258" customFormat="1" ht="13.5" customHeight="1">
      <c r="A6" s="952" t="s">
        <v>2338</v>
      </c>
      <c r="B6" s="259" t="s">
        <v>2339</v>
      </c>
      <c r="C6" s="260">
        <f>'土地比较法-住宅、综合'!B2*10000</f>
        <v>52060000</v>
      </c>
      <c r="D6" s="261"/>
      <c r="E6" s="262"/>
      <c r="F6" s="262"/>
      <c r="G6" s="263"/>
    </row>
    <row r="7" spans="1:8" s="258" customFormat="1" ht="13.5" customHeight="1">
      <c r="A7" s="952" t="s">
        <v>2340</v>
      </c>
      <c r="B7" s="259" t="s">
        <v>2341</v>
      </c>
      <c r="C7" s="264">
        <f>ROUND(C6*F7,0)</f>
        <v>1588871</v>
      </c>
      <c r="D7" s="264"/>
      <c r="E7" s="262"/>
      <c r="F7" s="265">
        <f>'数据-取费表'!B48+'数据-取费表'!B49</f>
        <v>3.0519999999999999E-2</v>
      </c>
      <c r="G7" s="263"/>
    </row>
    <row r="8" spans="1:8" s="267" customFormat="1">
      <c r="A8" s="952" t="s">
        <v>2342</v>
      </c>
      <c r="B8" s="259" t="s">
        <v>2343</v>
      </c>
      <c r="C8" s="264">
        <f ca="1">IF(G8="已包含在土地购买价格中",0,C9+C10)</f>
        <v>3059273</v>
      </c>
      <c r="D8" s="266"/>
      <c r="E8" s="264"/>
      <c r="F8" s="265"/>
      <c r="G8" s="2556" t="s">
        <v>3250</v>
      </c>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50</v>
      </c>
      <c r="F9" s="265"/>
      <c r="G9" s="270"/>
    </row>
    <row r="10" spans="1:8" s="258" customFormat="1" ht="13.5" customHeight="1">
      <c r="A10" s="953" t="s">
        <v>801</v>
      </c>
      <c r="B10" s="268" t="s">
        <v>2346</v>
      </c>
      <c r="C10" s="269">
        <f ca="1">ROUND(D10*E10,0)</f>
        <v>3059273</v>
      </c>
      <c r="D10" s="1035">
        <f ca="1">IF(B1="",'数据-汇总表'!E6,IF(INDIRECT("'数据-取费表'!c"&amp;$G$1)="住宅",INDIRECT("'数据-取费表'!s"&amp;$G$1),INDIRECT("'数据-取费表'!k"&amp;$G$1)+INDIRECT("'数据-取费表'!s"&amp;$G$1)))</f>
        <v>33991.919999999998</v>
      </c>
      <c r="E10" s="269">
        <f>'数据-取费表'!B28</f>
        <v>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33991.919999999998</v>
      </c>
      <c r="E19" s="255">
        <f>'数据-取费表'!B31</f>
        <v>200</v>
      </c>
      <c r="F19" s="275"/>
      <c r="G19" s="2556" t="s">
        <v>3249</v>
      </c>
    </row>
    <row r="20" spans="1:7" s="258" customFormat="1" ht="13.5" customHeight="1">
      <c r="A20" s="299" t="s">
        <v>2440</v>
      </c>
      <c r="B20" s="254" t="s">
        <v>2441</v>
      </c>
      <c r="C20" s="276">
        <f ca="1">ROUND((C5+C19)*F20,0)</f>
        <v>1134163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5569094</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5515221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53873</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11568461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11568461</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81349530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122319924</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112173336</v>
      </c>
      <c r="D34" s="261"/>
      <c r="E34" s="264"/>
      <c r="F34" s="301"/>
      <c r="G34" s="263"/>
    </row>
    <row r="35" spans="1:7" ht="13.5" customHeight="1">
      <c r="A35" s="954" t="s">
        <v>796</v>
      </c>
      <c r="B35" s="259" t="s">
        <v>2393</v>
      </c>
      <c r="C35" s="264">
        <f ca="1">ROUND(C34*F35,0)</f>
        <v>3365200</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5098788</v>
      </c>
      <c r="D37" s="261">
        <f ca="1">D19</f>
        <v>33991.919999999998</v>
      </c>
      <c r="E37" s="293">
        <f>'数据-取费表'!B35</f>
        <v>150</v>
      </c>
      <c r="F37" s="303"/>
      <c r="G37" s="305"/>
    </row>
    <row r="38" spans="1:7" ht="13.5" customHeight="1">
      <c r="A38" s="954" t="s">
        <v>799</v>
      </c>
      <c r="B38" s="259" t="s">
        <v>2399</v>
      </c>
      <c r="C38" s="264">
        <f ca="1">ROUND(C34*F38,0)</f>
        <v>1682600</v>
      </c>
      <c r="D38" s="264"/>
      <c r="E38" s="264"/>
      <c r="F38" s="303">
        <f>'数据-取费表'!B36</f>
        <v>1.4999999999999999E-2</v>
      </c>
      <c r="G38" s="263" t="s">
        <v>2394</v>
      </c>
    </row>
    <row r="39" spans="1:7" s="258" customFormat="1" ht="13.5" customHeight="1">
      <c r="A39" s="299" t="s">
        <v>2400</v>
      </c>
      <c r="B39" s="254" t="s">
        <v>2401</v>
      </c>
      <c r="C39" s="276">
        <f ca="1">ROUND(C33*F20,0)</f>
        <v>2446398</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5926400</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5810196</v>
      </c>
      <c r="D42" s="282"/>
      <c r="E42" s="282"/>
      <c r="F42" s="283"/>
      <c r="G42" s="3243" t="s">
        <v>2457</v>
      </c>
    </row>
    <row r="43" spans="1:7" ht="13.5" customHeight="1">
      <c r="A43" s="954" t="s">
        <v>792</v>
      </c>
      <c r="B43" s="259" t="s">
        <v>2411</v>
      </c>
      <c r="C43" s="282">
        <f ca="1">ROUND(IF('数据-取费表'!B22&lt;=1,C39*F22*'数据-取费表'!B20/2,C39*(POWER((1+F22),'数据-取费表'!B20/2)-1)),0)</f>
        <v>116204</v>
      </c>
      <c r="D43" s="282"/>
      <c r="E43" s="282"/>
      <c r="F43" s="283"/>
      <c r="G43" s="3244"/>
    </row>
    <row r="44" spans="1:7" ht="13.5" customHeight="1">
      <c r="A44" s="954" t="s">
        <v>793</v>
      </c>
      <c r="B44" s="259" t="s">
        <v>2412</v>
      </c>
      <c r="C44" s="282">
        <f ca="1">ROUND(IF('数据-取费表'!B22&lt;=1,C40*F22*'数据-取费表'!B20/2,C40*(POWER((1+F22),'数据-取费表'!B20/2)-1)),4)</f>
        <v>1E-3</v>
      </c>
      <c r="D44" s="282"/>
      <c r="E44" s="282"/>
      <c r="F44" s="283"/>
      <c r="G44" s="3245"/>
    </row>
    <row r="45" spans="1:7" s="258" customFormat="1" ht="13.5" customHeight="1">
      <c r="A45" s="299" t="s">
        <v>2413</v>
      </c>
      <c r="B45" s="288" t="s">
        <v>2379</v>
      </c>
      <c r="C45" s="289">
        <f ca="1">C46</f>
        <v>24953264</v>
      </c>
      <c r="D45" s="279">
        <f ca="1">C47</f>
        <v>4.0000000000000001E-3</v>
      </c>
      <c r="E45" s="280" t="s">
        <v>2405</v>
      </c>
      <c r="F45" s="290"/>
      <c r="G45" s="291" t="s">
        <v>2414</v>
      </c>
    </row>
    <row r="46" spans="1:7" s="258" customFormat="1" ht="13.5" customHeight="1">
      <c r="A46" s="954" t="s">
        <v>791</v>
      </c>
      <c r="B46" s="292" t="s">
        <v>2415</v>
      </c>
      <c r="C46" s="293">
        <f ca="1">ROUND((C33+C39)*F27,0)</f>
        <v>24953264</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168868380</v>
      </c>
      <c r="D49" s="276"/>
      <c r="E49" s="276"/>
      <c r="F49" s="308"/>
      <c r="G49" s="278" t="s">
        <v>2420</v>
      </c>
    </row>
    <row r="50" spans="1:7" s="302" customFormat="1">
      <c r="A50" s="299" t="s">
        <v>2421</v>
      </c>
      <c r="B50" s="254" t="s">
        <v>2422</v>
      </c>
      <c r="C50" s="276"/>
      <c r="D50" s="276"/>
      <c r="E50" s="276"/>
      <c r="F50" s="308">
        <f>IF('数据-取费表'!B24=0,'数据-取费表'!N16,1)</f>
        <v>0.88</v>
      </c>
      <c r="G50" s="291"/>
    </row>
    <row r="51" spans="1:7" ht="16.5" customHeight="1">
      <c r="A51" s="299" t="s">
        <v>2424</v>
      </c>
      <c r="B51" s="254" t="s">
        <v>2459</v>
      </c>
      <c r="C51" s="276">
        <f ca="1">ROUND(C49*F50,0)</f>
        <v>148604174</v>
      </c>
      <c r="D51" s="276"/>
      <c r="E51" s="276"/>
      <c r="F51" s="308"/>
      <c r="G51" s="278" t="s">
        <v>2426</v>
      </c>
    </row>
    <row r="52" spans="1:7" s="252" customFormat="1" ht="16.5" thickBot="1">
      <c r="A52" s="309" t="s">
        <v>2427</v>
      </c>
      <c r="B52" s="310"/>
      <c r="C52" s="311">
        <f ca="1">C31+C51</f>
        <v>229953704</v>
      </c>
      <c r="D52" s="310"/>
      <c r="E52" s="310"/>
      <c r="F52" s="310"/>
      <c r="G52" s="312"/>
    </row>
    <row r="55" spans="1:7" ht="15">
      <c r="B55" s="314" t="s">
        <v>2428</v>
      </c>
      <c r="C55" s="315"/>
    </row>
    <row r="56" spans="1:7">
      <c r="B56" s="317" t="s">
        <v>1509</v>
      </c>
      <c r="C56" s="319">
        <f ca="1">1-C57</f>
        <v>0.35399999999999998</v>
      </c>
    </row>
    <row r="57" spans="1:7">
      <c r="B57" s="317" t="s">
        <v>1510</v>
      </c>
      <c r="C57" s="318">
        <f ca="1">ROUND(C51/C52,3)</f>
        <v>0.64600000000000002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9</v>
      </c>
    </row>
    <row r="2" spans="1:33" ht="18" customHeight="1">
      <c r="A2" s="245" t="s">
        <v>2328</v>
      </c>
      <c r="B2" s="248">
        <f ca="1">C32</f>
        <v>-363</v>
      </c>
      <c r="C2" s="320" t="s">
        <v>2461</v>
      </c>
      <c r="D2" s="320"/>
      <c r="E2" s="320"/>
      <c r="F2" s="320"/>
      <c r="G2" s="320"/>
      <c r="H2" s="320"/>
      <c r="I2" s="320"/>
      <c r="J2" s="320"/>
      <c r="K2" s="320"/>
    </row>
    <row r="3" spans="1:33" ht="18" customHeight="1" thickBot="1">
      <c r="A3" s="247" t="s">
        <v>2330</v>
      </c>
      <c r="B3" s="248">
        <f ca="1">ROUND(B2*10000/IF(C1="",'数据-汇总表'!E3,INDIRECT("'数据-取费表'!K"&amp;$K$1)),0)</f>
        <v>-107</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33991.919999999998</v>
      </c>
      <c r="E14" s="24">
        <f>'数据-取费表'!B35</f>
        <v>150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33991.919999999998</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306</v>
      </c>
      <c r="D18" s="1036"/>
      <c r="E18" s="24"/>
      <c r="F18" s="979"/>
      <c r="G18" s="2562"/>
      <c r="H18" s="1580"/>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50</v>
      </c>
      <c r="F19" s="979"/>
      <c r="G19" s="15"/>
      <c r="H19" s="1582"/>
      <c r="I19" s="984"/>
      <c r="J19" s="984"/>
      <c r="K19" s="985"/>
    </row>
    <row r="20" spans="1:33" s="978" customFormat="1" ht="13.5" customHeight="1">
      <c r="A20" s="974" t="s">
        <v>806</v>
      </c>
      <c r="B20" s="975" t="s">
        <v>2496</v>
      </c>
      <c r="C20" s="24">
        <f ca="1">ROUND(D20*E20/10000,0)</f>
        <v>306</v>
      </c>
      <c r="D20" s="1036">
        <f ca="1">IF(C1="",'数据-汇总表'!E6,IF(INDIRECT("'数据-取费表'!c"&amp;$K$1)="住宅",INDIRECT("'数据-取费表'!s"&amp;$K$1),INDIRECT("'数据-取费表'!k"&amp;$K$1)+INDIRECT("'数据-取费表'!s"&amp;$K$1)))</f>
        <v>33991.919999999998</v>
      </c>
      <c r="E20" s="24">
        <f>'数据-取费表'!B28</f>
        <v>90</v>
      </c>
      <c r="F20" s="979"/>
      <c r="G20" s="15"/>
      <c r="H20" s="984"/>
      <c r="I20" s="984"/>
      <c r="J20" s="984"/>
      <c r="K20" s="985"/>
    </row>
    <row r="21" spans="1:33" s="978" customFormat="1" ht="13.5" customHeight="1">
      <c r="A21" s="964" t="s">
        <v>802</v>
      </c>
      <c r="B21" s="988" t="s">
        <v>2497</v>
      </c>
      <c r="C21" s="989">
        <f ca="1">C16+C17+C18</f>
        <v>306</v>
      </c>
      <c r="D21" s="990"/>
      <c r="E21" s="325"/>
      <c r="F21" s="325"/>
      <c r="G21" s="140" t="s">
        <v>2498</v>
      </c>
      <c r="H21" s="982"/>
      <c r="I21" s="982"/>
      <c r="J21" s="982"/>
      <c r="K21" s="983"/>
    </row>
    <row r="22" spans="1:33" s="978" customFormat="1" ht="13.5" customHeight="1">
      <c r="A22" s="964" t="s">
        <v>2470</v>
      </c>
      <c r="B22" s="988" t="s">
        <v>2499</v>
      </c>
      <c r="C22" s="989">
        <f ca="1">ROUND(C21*F22,0)</f>
        <v>6</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2.9100000000000001E-2</v>
      </c>
      <c r="D24" s="325" t="s">
        <v>15</v>
      </c>
      <c r="E24" s="325"/>
      <c r="F24" s="991">
        <f>'数据-取费表'!B48+'数据-取费表'!B49</f>
        <v>3.0519999999999999E-2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62</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62</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-363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M34" sqref="M3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5206</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1532</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50" t="s">
        <v>2647</v>
      </c>
      <c r="D4" s="3263"/>
      <c r="E4" s="3264" t="s">
        <v>2648</v>
      </c>
      <c r="F4" s="3265"/>
      <c r="G4" s="3250" t="s">
        <v>2649</v>
      </c>
      <c r="H4" s="3263"/>
      <c r="I4" s="3250" t="s">
        <v>2650</v>
      </c>
      <c r="J4" s="3263"/>
      <c r="K4" s="610" t="s">
        <v>2651</v>
      </c>
      <c r="L4" s="1133"/>
      <c r="M4" s="1134"/>
      <c r="N4" s="1134"/>
      <c r="O4" s="1134"/>
      <c r="P4" s="3266" t="s">
        <v>2652</v>
      </c>
      <c r="Q4" s="3267"/>
      <c r="R4" s="3272" t="s">
        <v>2648</v>
      </c>
      <c r="S4" s="3273"/>
      <c r="T4" s="3272" t="s">
        <v>2649</v>
      </c>
      <c r="U4" s="3273"/>
      <c r="V4" s="3259" t="s">
        <v>2650</v>
      </c>
      <c r="W4" s="3259"/>
      <c r="X4" s="1816"/>
      <c r="Y4" s="3272" t="s">
        <v>2652</v>
      </c>
      <c r="Z4" s="3273"/>
      <c r="AA4" s="3260" t="s">
        <v>2648</v>
      </c>
      <c r="AB4" s="3261" t="s">
        <v>2649</v>
      </c>
      <c r="AC4" s="3260" t="s">
        <v>2650</v>
      </c>
    </row>
    <row r="5" spans="1:30" ht="15">
      <c r="A5" s="404"/>
      <c r="B5" s="405"/>
      <c r="C5" s="3280" t="s">
        <v>2543</v>
      </c>
      <c r="D5" s="3281"/>
      <c r="E5" s="3287" t="s">
        <v>2544</v>
      </c>
      <c r="F5" s="3288"/>
      <c r="G5" s="3280" t="s">
        <v>2545</v>
      </c>
      <c r="H5" s="3281"/>
      <c r="I5" s="3280" t="s">
        <v>2546</v>
      </c>
      <c r="J5" s="3281"/>
      <c r="K5" s="610"/>
      <c r="L5" s="1133"/>
      <c r="M5" s="1134"/>
      <c r="N5" s="1134"/>
      <c r="O5" s="1134"/>
      <c r="P5" s="3268"/>
      <c r="Q5" s="3269"/>
      <c r="R5" s="3274"/>
      <c r="S5" s="3275"/>
      <c r="T5" s="3274"/>
      <c r="U5" s="3275"/>
      <c r="V5" s="3259"/>
      <c r="W5" s="3259"/>
      <c r="X5" s="1816"/>
      <c r="Y5" s="3274"/>
      <c r="Z5" s="3275"/>
      <c r="AA5" s="3261"/>
      <c r="AB5" s="3261"/>
      <c r="AC5" s="3261"/>
    </row>
    <row r="6" spans="1:30" ht="15.75" thickBot="1">
      <c r="A6" s="406"/>
      <c r="B6" s="407"/>
      <c r="C6" s="3278" t="s">
        <v>2547</v>
      </c>
      <c r="D6" s="3279"/>
      <c r="E6" s="3285" t="s">
        <v>2547</v>
      </c>
      <c r="F6" s="3286"/>
      <c r="G6" s="3278" t="s">
        <v>2547</v>
      </c>
      <c r="H6" s="3279"/>
      <c r="I6" s="3278" t="s">
        <v>2547</v>
      </c>
      <c r="J6" s="3279"/>
      <c r="K6" s="610" t="s">
        <v>2548</v>
      </c>
      <c r="L6" s="1133"/>
      <c r="M6" s="1134"/>
      <c r="N6" s="1134"/>
      <c r="O6" s="1134"/>
      <c r="P6" s="3270"/>
      <c r="Q6" s="3271"/>
      <c r="R6" s="3274"/>
      <c r="S6" s="3275"/>
      <c r="T6" s="3276"/>
      <c r="U6" s="3277"/>
      <c r="V6" s="3259"/>
      <c r="W6" s="3259"/>
      <c r="X6" s="1816"/>
      <c r="Y6" s="3276"/>
      <c r="Z6" s="3277"/>
      <c r="AA6" s="3262"/>
      <c r="AB6" s="3262"/>
      <c r="AC6" s="3262"/>
    </row>
    <row r="7" spans="1:30" s="117" customFormat="1" ht="15.75" thickBot="1">
      <c r="A7" s="408" t="s">
        <v>2549</v>
      </c>
      <c r="B7" s="409"/>
      <c r="C7" s="410">
        <f>'数据-取费表'!B2</f>
        <v>43532</v>
      </c>
      <c r="D7" s="411">
        <v>100</v>
      </c>
      <c r="E7" s="412" t="str">
        <f>Sheet2!H3</f>
        <v>2018-02-07</v>
      </c>
      <c r="F7" s="413">
        <f>SUMIF(70:70,YEAR(E7)&amp;"-"&amp;INT((MONTH(E7)+2)/3),71:71)</f>
        <v>96</v>
      </c>
      <c r="G7" s="2701" t="str">
        <f>Sheet2!H4</f>
        <v>2018-02-07</v>
      </c>
      <c r="H7" s="411">
        <f>SUMIF(70:70,YEAR(G7)&amp;"-"&amp;INT((MONTH(G7)+2)/3),71:71)</f>
        <v>96</v>
      </c>
      <c r="I7" s="2701" t="str">
        <f>Sheet2!H6</f>
        <v>2017-07-28</v>
      </c>
      <c r="J7" s="411">
        <f>SUMIF(70:70,YEAR(I7)&amp;"-"&amp;INT((MONTH(I7)+2)/3),71:71)</f>
        <v>94</v>
      </c>
      <c r="K7" s="611"/>
      <c r="L7" s="1135"/>
      <c r="M7" s="1136"/>
      <c r="N7" s="1136"/>
      <c r="O7" s="1136"/>
      <c r="P7" s="3282" t="s">
        <v>2550</v>
      </c>
      <c r="Q7" s="3284"/>
      <c r="R7" s="770" t="s">
        <v>17</v>
      </c>
      <c r="S7" s="771">
        <f t="shared" ref="S7:S15" si="0">F7</f>
        <v>96</v>
      </c>
      <c r="T7" s="770" t="s">
        <v>17</v>
      </c>
      <c r="U7" s="771">
        <f t="shared" ref="U7:U15" si="1">H7</f>
        <v>96</v>
      </c>
      <c r="V7" s="770" t="s">
        <v>17</v>
      </c>
      <c r="W7" s="771">
        <f t="shared" ref="W7:W15" si="2">J7</f>
        <v>94</v>
      </c>
      <c r="X7" s="772"/>
      <c r="Y7" s="3282" t="s">
        <v>2550</v>
      </c>
      <c r="Z7" s="3283"/>
      <c r="AA7" s="773">
        <f>D7/F7</f>
        <v>1.0416666666666667</v>
      </c>
      <c r="AB7" s="773">
        <f>D7/H7</f>
        <v>1.0416666666666667</v>
      </c>
      <c r="AC7" s="773">
        <f>D7/J7</f>
        <v>1.0638297872340425</v>
      </c>
    </row>
    <row r="8" spans="1:30" s="117" customFormat="1" ht="15.75" thickBot="1">
      <c r="A8" s="408" t="s">
        <v>2551</v>
      </c>
      <c r="B8" s="409"/>
      <c r="C8" s="414" t="s">
        <v>2552</v>
      </c>
      <c r="D8" s="411">
        <v>100</v>
      </c>
      <c r="E8" s="414" t="s">
        <v>3201</v>
      </c>
      <c r="F8" s="413">
        <f>SUMIF(73:73,E8,74:74)-SUMIF(73:73,C8,74:74)+100</f>
        <v>100</v>
      </c>
      <c r="G8" s="414" t="s">
        <v>3201</v>
      </c>
      <c r="H8" s="411">
        <f>SUMIF(73:73,G8,74:74)-SUMIF(73:73,C8,74:74)+100</f>
        <v>100</v>
      </c>
      <c r="I8" s="414" t="s">
        <v>3201</v>
      </c>
      <c r="J8" s="411">
        <f>SUMIF(73:73,I8,74:74)-SUMIF(73:73,C8,74:74)+100</f>
        <v>100</v>
      </c>
      <c r="K8" s="611"/>
      <c r="L8" s="1135"/>
      <c r="M8" s="1136"/>
      <c r="N8" s="1136"/>
      <c r="O8" s="1136"/>
      <c r="P8" s="3282" t="s">
        <v>2553</v>
      </c>
      <c r="Q8" s="3283"/>
      <c r="R8" s="770" t="s">
        <v>17</v>
      </c>
      <c r="S8" s="771">
        <f t="shared" si="0"/>
        <v>100</v>
      </c>
      <c r="T8" s="770" t="s">
        <v>17</v>
      </c>
      <c r="U8" s="771">
        <f t="shared" si="1"/>
        <v>100</v>
      </c>
      <c r="V8" s="770" t="s">
        <v>17</v>
      </c>
      <c r="W8" s="771">
        <f t="shared" si="2"/>
        <v>100</v>
      </c>
      <c r="X8" s="772"/>
      <c r="Y8" s="3282" t="s">
        <v>2553</v>
      </c>
      <c r="Z8" s="3283"/>
      <c r="AA8" s="773">
        <f t="shared" ref="AA8:AA45" si="3">D8/F8</f>
        <v>1</v>
      </c>
      <c r="AB8" s="773">
        <f t="shared" ref="AB8:AB45" si="4">D8/H8</f>
        <v>1</v>
      </c>
      <c r="AC8" s="773">
        <f t="shared" ref="AC8:AC45" si="5">D8/J8</f>
        <v>1</v>
      </c>
    </row>
    <row r="9" spans="1:30" s="117" customFormat="1">
      <c r="A9" s="415" t="s">
        <v>2554</v>
      </c>
      <c r="B9" s="71" t="s">
        <v>2555</v>
      </c>
      <c r="C9" s="2984" t="s">
        <v>3202</v>
      </c>
      <c r="D9" s="135">
        <v>100</v>
      </c>
      <c r="E9" s="2984" t="s">
        <v>3202</v>
      </c>
      <c r="F9" s="135">
        <f>SUMIF(75:75,E9,76:76)-SUMIF(75:75,C9,76:76)+100</f>
        <v>100</v>
      </c>
      <c r="G9" s="2984" t="s">
        <v>3202</v>
      </c>
      <c r="H9" s="135">
        <f>SUMIF(75:75,G9,76:76)-SUMIF(75:75,C9,76:76)+100</f>
        <v>100</v>
      </c>
      <c r="I9" s="2984" t="s">
        <v>3202</v>
      </c>
      <c r="J9" s="135">
        <f>SUMIF(75:75,I9,76:76)-SUMIF(75:75,C9,76:76)+100</f>
        <v>100</v>
      </c>
      <c r="K9" s="611"/>
      <c r="L9" s="1135"/>
      <c r="M9" s="1136"/>
      <c r="N9" s="1136"/>
      <c r="O9" s="1137"/>
      <c r="P9" s="3253" t="s">
        <v>2556</v>
      </c>
      <c r="Q9" s="1798" t="str">
        <f t="shared" ref="Q9:Q15" si="6">B9</f>
        <v>用途</v>
      </c>
      <c r="R9" s="770" t="s">
        <v>17</v>
      </c>
      <c r="S9" s="771">
        <f t="shared" si="0"/>
        <v>100</v>
      </c>
      <c r="T9" s="770" t="s">
        <v>17</v>
      </c>
      <c r="U9" s="771">
        <f t="shared" si="1"/>
        <v>100</v>
      </c>
      <c r="V9" s="770" t="s">
        <v>17</v>
      </c>
      <c r="W9" s="771">
        <f t="shared" si="2"/>
        <v>100</v>
      </c>
      <c r="X9" s="772"/>
      <c r="Y9" s="3077"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116</v>
      </c>
      <c r="G10" s="463"/>
      <c r="H10" s="136">
        <f>ROUND(100/'数据-取费表'!G16,0)</f>
        <v>116</v>
      </c>
      <c r="I10" s="463"/>
      <c r="J10" s="136">
        <f>ROUND(100/'数据-取费表'!G16,0)</f>
        <v>116</v>
      </c>
      <c r="K10" s="672"/>
      <c r="L10" s="1138"/>
      <c r="M10" s="1139"/>
      <c r="N10" s="1139"/>
      <c r="O10" s="1140"/>
      <c r="P10" s="3253"/>
      <c r="Q10" s="1798" t="str">
        <f t="shared" si="6"/>
        <v>土地使用年限（年）</v>
      </c>
      <c r="R10" s="770" t="s">
        <v>17</v>
      </c>
      <c r="S10" s="771">
        <f t="shared" si="0"/>
        <v>116</v>
      </c>
      <c r="T10" s="770" t="s">
        <v>17</v>
      </c>
      <c r="U10" s="771">
        <f t="shared" si="1"/>
        <v>116</v>
      </c>
      <c r="V10" s="770" t="s">
        <v>17</v>
      </c>
      <c r="W10" s="771">
        <f t="shared" si="2"/>
        <v>116</v>
      </c>
      <c r="X10" s="772"/>
      <c r="Y10" s="3077"/>
      <c r="Z10" s="55" t="str">
        <f t="shared" si="7"/>
        <v>土地使用年限（年）</v>
      </c>
      <c r="AA10" s="773">
        <f t="shared" si="3"/>
        <v>0.86206896551724133</v>
      </c>
      <c r="AB10" s="773">
        <f t="shared" si="4"/>
        <v>0.86206896551724133</v>
      </c>
      <c r="AC10" s="773">
        <f t="shared" si="5"/>
        <v>0.86206896551724133</v>
      </c>
    </row>
    <row r="11" spans="1:30" ht="15">
      <c r="A11" s="428"/>
      <c r="B11" s="422" t="s">
        <v>2559</v>
      </c>
      <c r="C11" s="429">
        <v>2</v>
      </c>
      <c r="D11" s="136">
        <v>100</v>
      </c>
      <c r="E11" s="429">
        <v>2.5</v>
      </c>
      <c r="F11" s="136">
        <f>LOOKUP(E11,80:80,81:81)-LOOKUP(C11,80:80,81:81)+100</f>
        <v>100</v>
      </c>
      <c r="G11" s="430">
        <v>2</v>
      </c>
      <c r="H11" s="136">
        <f>LOOKUP(G11,80:80,81:81)-LOOKUP(C11,80:80,81:81)+100</f>
        <v>100</v>
      </c>
      <c r="I11" s="429">
        <v>5</v>
      </c>
      <c r="J11" s="136">
        <f>LOOKUP(I11,80:80,81:81)-LOOKUP(C11,80:80,81:81)+100</f>
        <v>97</v>
      </c>
      <c r="K11" s="673">
        <v>1</v>
      </c>
      <c r="L11" s="1141"/>
      <c r="M11" s="1134"/>
      <c r="N11" s="1134"/>
      <c r="O11" s="1142"/>
      <c r="P11" s="3253"/>
      <c r="Q11" s="1798" t="str">
        <f t="shared" si="6"/>
        <v>容积率</v>
      </c>
      <c r="R11" s="770" t="s">
        <v>17</v>
      </c>
      <c r="S11" s="771">
        <f t="shared" si="0"/>
        <v>100</v>
      </c>
      <c r="T11" s="770" t="s">
        <v>17</v>
      </c>
      <c r="U11" s="771">
        <f t="shared" si="1"/>
        <v>100</v>
      </c>
      <c r="V11" s="770" t="s">
        <v>17</v>
      </c>
      <c r="W11" s="771">
        <f t="shared" si="2"/>
        <v>97</v>
      </c>
      <c r="X11" s="772"/>
      <c r="Y11" s="3077"/>
      <c r="Z11" s="55" t="str">
        <f t="shared" si="7"/>
        <v>容积率</v>
      </c>
      <c r="AA11" s="773">
        <f t="shared" si="3"/>
        <v>1</v>
      </c>
      <c r="AB11" s="773">
        <f t="shared" si="4"/>
        <v>1</v>
      </c>
      <c r="AC11" s="773">
        <f t="shared" si="5"/>
        <v>1.0309278350515463</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53"/>
      <c r="Q12" s="1798" t="str">
        <f t="shared" si="6"/>
        <v>配建</v>
      </c>
      <c r="R12" s="770" t="s">
        <v>17</v>
      </c>
      <c r="S12" s="771">
        <f t="shared" si="0"/>
        <v>100</v>
      </c>
      <c r="T12" s="770" t="s">
        <v>17</v>
      </c>
      <c r="U12" s="771">
        <f t="shared" si="1"/>
        <v>100</v>
      </c>
      <c r="V12" s="770" t="s">
        <v>17</v>
      </c>
      <c r="W12" s="771">
        <f t="shared" si="2"/>
        <v>100</v>
      </c>
      <c r="X12" s="772"/>
      <c r="Y12" s="3077"/>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53"/>
      <c r="Q13" s="1798">
        <f t="shared" si="6"/>
        <v>111</v>
      </c>
      <c r="R13" s="770" t="s">
        <v>17</v>
      </c>
      <c r="S13" s="771">
        <f t="shared" si="0"/>
        <v>100</v>
      </c>
      <c r="T13" s="770" t="s">
        <v>17</v>
      </c>
      <c r="U13" s="771">
        <f t="shared" si="1"/>
        <v>100</v>
      </c>
      <c r="V13" s="770" t="s">
        <v>17</v>
      </c>
      <c r="W13" s="771">
        <f t="shared" si="2"/>
        <v>100</v>
      </c>
      <c r="X13" s="772"/>
      <c r="Y13" s="3077"/>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53"/>
      <c r="Q14" s="1798">
        <f t="shared" si="6"/>
        <v>111</v>
      </c>
      <c r="R14" s="770" t="s">
        <v>17</v>
      </c>
      <c r="S14" s="771">
        <f t="shared" si="0"/>
        <v>100</v>
      </c>
      <c r="T14" s="770" t="s">
        <v>17</v>
      </c>
      <c r="U14" s="771">
        <f t="shared" si="1"/>
        <v>100</v>
      </c>
      <c r="V14" s="770" t="s">
        <v>17</v>
      </c>
      <c r="W14" s="771">
        <f t="shared" si="2"/>
        <v>100</v>
      </c>
      <c r="X14" s="772"/>
      <c r="Y14" s="3077"/>
      <c r="Z14" s="55">
        <f t="shared" si="7"/>
        <v>111</v>
      </c>
      <c r="AA14" s="773">
        <f>D14/F14</f>
        <v>1</v>
      </c>
      <c r="AB14" s="773">
        <f>D14/H14</f>
        <v>1</v>
      </c>
      <c r="AC14" s="773">
        <f>D14/J14</f>
        <v>1</v>
      </c>
    </row>
    <row r="15" spans="1:30" ht="99.75">
      <c r="A15" s="440" t="s">
        <v>2560</v>
      </c>
      <c r="B15" s="69" t="s">
        <v>2085</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5" t="s">
        <v>2561</v>
      </c>
      <c r="Q15" s="1813" t="str">
        <f t="shared" si="6"/>
        <v>居住社区成熟度</v>
      </c>
      <c r="R15" s="774" t="s">
        <v>17</v>
      </c>
      <c r="S15" s="775">
        <f t="shared" si="0"/>
        <v>100</v>
      </c>
      <c r="T15" s="774" t="s">
        <v>17</v>
      </c>
      <c r="U15" s="775">
        <f t="shared" si="1"/>
        <v>100</v>
      </c>
      <c r="V15" s="774" t="s">
        <v>17</v>
      </c>
      <c r="W15" s="775">
        <f t="shared" si="2"/>
        <v>100</v>
      </c>
      <c r="X15" s="1816"/>
      <c r="Y15" s="3255" t="s">
        <v>2561</v>
      </c>
      <c r="Z15" s="1817" t="str">
        <f t="shared" si="7"/>
        <v>居住社区成熟度</v>
      </c>
      <c r="AA15" s="1814">
        <f t="shared" si="3"/>
        <v>1</v>
      </c>
      <c r="AB15" s="1814">
        <f t="shared" si="4"/>
        <v>1</v>
      </c>
      <c r="AC15" s="1814">
        <f t="shared" si="5"/>
        <v>1</v>
      </c>
    </row>
    <row r="16" spans="1:30" ht="15">
      <c r="A16" s="428"/>
      <c r="B16" s="446"/>
      <c r="C16" s="2989" t="s">
        <v>3213</v>
      </c>
      <c r="D16" s="448"/>
      <c r="E16" s="2990" t="s">
        <v>3213</v>
      </c>
      <c r="F16" s="448"/>
      <c r="G16" s="2990" t="s">
        <v>3213</v>
      </c>
      <c r="H16" s="450"/>
      <c r="I16" s="2991" t="s">
        <v>3213</v>
      </c>
      <c r="J16" s="448"/>
      <c r="K16" s="672"/>
      <c r="L16" s="1143"/>
      <c r="M16" s="1134"/>
      <c r="N16" s="1134"/>
      <c r="O16" s="1142"/>
      <c r="P16" s="3256"/>
      <c r="Q16" s="1813"/>
      <c r="R16" s="774"/>
      <c r="S16" s="775"/>
      <c r="T16" s="774"/>
      <c r="U16" s="775"/>
      <c r="V16" s="774"/>
      <c r="W16" s="775"/>
      <c r="X16" s="1816"/>
      <c r="Y16" s="3256"/>
      <c r="Z16" s="1817"/>
      <c r="AA16" s="1814">
        <v>1</v>
      </c>
      <c r="AB16" s="1814">
        <v>1</v>
      </c>
      <c r="AC16" s="1814">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56"/>
      <c r="Q17" s="1813" t="str">
        <f>B17</f>
        <v>商业繁华度</v>
      </c>
      <c r="R17" s="774" t="s">
        <v>17</v>
      </c>
      <c r="S17" s="775">
        <f>F17</f>
        <v>100</v>
      </c>
      <c r="T17" s="774" t="s">
        <v>17</v>
      </c>
      <c r="U17" s="775">
        <f>H17</f>
        <v>100</v>
      </c>
      <c r="V17" s="774" t="s">
        <v>17</v>
      </c>
      <c r="W17" s="775">
        <f>J17</f>
        <v>100</v>
      </c>
      <c r="X17" s="1816"/>
      <c r="Y17" s="3256"/>
      <c r="Z17" s="1817" t="str">
        <f>Q17</f>
        <v>商业繁华度</v>
      </c>
      <c r="AA17" s="1814">
        <f t="shared" si="3"/>
        <v>1</v>
      </c>
      <c r="AB17" s="1814">
        <f t="shared" si="4"/>
        <v>1</v>
      </c>
      <c r="AC17" s="1814">
        <f t="shared" si="5"/>
        <v>1</v>
      </c>
    </row>
    <row r="18" spans="1:29" ht="15">
      <c r="A18" s="428"/>
      <c r="B18" s="456"/>
      <c r="C18" s="2992" t="s">
        <v>3213</v>
      </c>
      <c r="D18" s="450"/>
      <c r="E18" s="2993" t="s">
        <v>3213</v>
      </c>
      <c r="F18" s="450"/>
      <c r="G18" s="2993" t="s">
        <v>3213</v>
      </c>
      <c r="H18" s="448"/>
      <c r="I18" s="2994" t="s">
        <v>3213</v>
      </c>
      <c r="J18" s="448"/>
      <c r="K18" s="672"/>
      <c r="L18" s="1143"/>
      <c r="M18" s="1134"/>
      <c r="N18" s="1134"/>
      <c r="O18" s="1142"/>
      <c r="P18" s="3256"/>
      <c r="Q18" s="1813"/>
      <c r="R18" s="774"/>
      <c r="S18" s="775"/>
      <c r="T18" s="774"/>
      <c r="U18" s="775"/>
      <c r="V18" s="774"/>
      <c r="W18" s="775"/>
      <c r="X18" s="1816"/>
      <c r="Y18" s="3256"/>
      <c r="Z18" s="1817"/>
      <c r="AA18" s="1814">
        <v>1</v>
      </c>
      <c r="AB18" s="1814">
        <v>1</v>
      </c>
      <c r="AC18" s="1814">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6"/>
      <c r="Q19" s="1813" t="str">
        <f>B19</f>
        <v>办公集聚程度</v>
      </c>
      <c r="R19" s="774" t="s">
        <v>17</v>
      </c>
      <c r="S19" s="775">
        <f>F19</f>
        <v>100</v>
      </c>
      <c r="T19" s="774" t="s">
        <v>17</v>
      </c>
      <c r="U19" s="775">
        <f>H19</f>
        <v>100</v>
      </c>
      <c r="V19" s="774" t="s">
        <v>17</v>
      </c>
      <c r="W19" s="775">
        <f>J19</f>
        <v>100</v>
      </c>
      <c r="X19" s="1816"/>
      <c r="Y19" s="3256"/>
      <c r="Z19" s="1817" t="str">
        <f>Q19</f>
        <v>办公集聚程度</v>
      </c>
      <c r="AA19" s="1814">
        <f t="shared" si="3"/>
        <v>1</v>
      </c>
      <c r="AB19" s="1814">
        <f t="shared" si="4"/>
        <v>1</v>
      </c>
      <c r="AC19" s="1814">
        <f t="shared" si="5"/>
        <v>1</v>
      </c>
    </row>
    <row r="20" spans="1:29" ht="15">
      <c r="A20" s="428"/>
      <c r="B20" s="456"/>
      <c r="C20" s="2989" t="s">
        <v>3213</v>
      </c>
      <c r="D20" s="448"/>
      <c r="E20" s="2990" t="s">
        <v>3213</v>
      </c>
      <c r="F20" s="448"/>
      <c r="G20" s="2990" t="s">
        <v>3213</v>
      </c>
      <c r="H20" s="448"/>
      <c r="I20" s="2991" t="s">
        <v>3213</v>
      </c>
      <c r="J20" s="448"/>
      <c r="K20" s="672"/>
      <c r="L20" s="1143"/>
      <c r="M20" s="1134"/>
      <c r="N20" s="1134"/>
      <c r="O20" s="1142"/>
      <c r="P20" s="3256"/>
      <c r="Q20" s="1813"/>
      <c r="R20" s="774"/>
      <c r="S20" s="775"/>
      <c r="T20" s="774"/>
      <c r="U20" s="775"/>
      <c r="V20" s="774"/>
      <c r="W20" s="775"/>
      <c r="X20" s="1816"/>
      <c r="Y20" s="3256"/>
      <c r="Z20" s="1817"/>
      <c r="AA20" s="1814">
        <v>1</v>
      </c>
      <c r="AB20" s="1814">
        <v>1</v>
      </c>
      <c r="AC20" s="1814">
        <v>1</v>
      </c>
    </row>
    <row r="21" spans="1:29" ht="85.5">
      <c r="A21" s="428"/>
      <c r="B21" s="451" t="s">
        <v>2710</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56"/>
      <c r="Q21" s="1813" t="str">
        <f>B21</f>
        <v>交通便捷度</v>
      </c>
      <c r="R21" s="774" t="s">
        <v>17</v>
      </c>
      <c r="S21" s="775">
        <f>F21</f>
        <v>100</v>
      </c>
      <c r="T21" s="774" t="s">
        <v>17</v>
      </c>
      <c r="U21" s="775">
        <f>H21</f>
        <v>100</v>
      </c>
      <c r="V21" s="774" t="s">
        <v>17</v>
      </c>
      <c r="W21" s="775">
        <f>J21</f>
        <v>100</v>
      </c>
      <c r="X21" s="1816"/>
      <c r="Y21" s="3256"/>
      <c r="Z21" s="1817" t="str">
        <f>Q21</f>
        <v>交通便捷度</v>
      </c>
      <c r="AA21" s="1814">
        <f t="shared" si="3"/>
        <v>1</v>
      </c>
      <c r="AB21" s="1814">
        <f t="shared" si="4"/>
        <v>1</v>
      </c>
      <c r="AC21" s="1814">
        <f t="shared" si="5"/>
        <v>1</v>
      </c>
    </row>
    <row r="22" spans="1:29" ht="15">
      <c r="A22" s="428"/>
      <c r="B22" s="1387"/>
      <c r="C22" s="2989" t="s">
        <v>3213</v>
      </c>
      <c r="D22" s="450"/>
      <c r="E22" s="2990" t="s">
        <v>3213</v>
      </c>
      <c r="F22" s="448"/>
      <c r="G22" s="2990" t="s">
        <v>3213</v>
      </c>
      <c r="H22" s="448"/>
      <c r="I22" s="2991" t="s">
        <v>3213</v>
      </c>
      <c r="J22" s="448"/>
      <c r="K22" s="672"/>
      <c r="L22" s="1143"/>
      <c r="M22" s="1134"/>
      <c r="N22" s="1134"/>
      <c r="O22" s="1142"/>
      <c r="P22" s="3256"/>
      <c r="Q22" s="1813"/>
      <c r="R22" s="774"/>
      <c r="S22" s="775"/>
      <c r="T22" s="774"/>
      <c r="U22" s="775"/>
      <c r="V22" s="774"/>
      <c r="W22" s="775"/>
      <c r="X22" s="1816"/>
      <c r="Y22" s="3256"/>
      <c r="Z22" s="1817"/>
      <c r="AA22" s="1814">
        <v>1</v>
      </c>
      <c r="AB22" s="1814">
        <v>1</v>
      </c>
      <c r="AC22" s="1814">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56"/>
      <c r="Q23" s="1813" t="str">
        <f t="shared" ref="Q23:Q37" si="8">B23</f>
        <v>区域土地利用方向</v>
      </c>
      <c r="R23" s="774" t="s">
        <v>17</v>
      </c>
      <c r="S23" s="775">
        <f>F23</f>
        <v>100</v>
      </c>
      <c r="T23" s="774" t="s">
        <v>17</v>
      </c>
      <c r="U23" s="775">
        <f>H23</f>
        <v>100</v>
      </c>
      <c r="V23" s="774" t="s">
        <v>17</v>
      </c>
      <c r="W23" s="775">
        <f>J23</f>
        <v>100</v>
      </c>
      <c r="X23" s="1816"/>
      <c r="Y23" s="3256"/>
      <c r="Z23" s="1817" t="str">
        <f>Q23</f>
        <v>区域土地利用方向</v>
      </c>
      <c r="AA23" s="1814">
        <f t="shared" si="3"/>
        <v>1</v>
      </c>
      <c r="AB23" s="1814">
        <f t="shared" si="4"/>
        <v>1</v>
      </c>
      <c r="AC23" s="1814">
        <f t="shared" si="5"/>
        <v>1</v>
      </c>
    </row>
    <row r="24" spans="1:29" ht="15">
      <c r="A24" s="404"/>
      <c r="B24" s="456"/>
      <c r="C24" s="2995" t="s">
        <v>3213</v>
      </c>
      <c r="D24" s="448"/>
      <c r="E24" s="2990" t="s">
        <v>3213</v>
      </c>
      <c r="F24" s="448"/>
      <c r="G24" s="2991" t="s">
        <v>3213</v>
      </c>
      <c r="H24" s="448"/>
      <c r="I24" s="2991" t="s">
        <v>3213</v>
      </c>
      <c r="J24" s="448"/>
      <c r="K24" s="812"/>
      <c r="L24" s="1143"/>
      <c r="M24" s="1134"/>
      <c r="N24" s="1134"/>
      <c r="O24" s="1142"/>
      <c r="P24" s="3256"/>
      <c r="Q24" s="1813"/>
      <c r="R24" s="774"/>
      <c r="S24" s="775"/>
      <c r="T24" s="774"/>
      <c r="U24" s="775"/>
      <c r="V24" s="774"/>
      <c r="W24" s="775"/>
      <c r="X24" s="1816"/>
      <c r="Y24" s="3256"/>
      <c r="Z24" s="1817"/>
      <c r="AA24" s="1814"/>
      <c r="AB24" s="1814"/>
      <c r="AC24" s="1814"/>
    </row>
    <row r="25" spans="1:29" ht="57">
      <c r="A25" s="404"/>
      <c r="B25" s="1387" t="s">
        <v>2749</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56"/>
      <c r="Q25" s="1813" t="str">
        <f t="shared" si="8"/>
        <v>自然及人文环境状况</v>
      </c>
      <c r="R25" s="774" t="s">
        <v>17</v>
      </c>
      <c r="S25" s="775">
        <f>F25</f>
        <v>100</v>
      </c>
      <c r="T25" s="774" t="s">
        <v>17</v>
      </c>
      <c r="U25" s="775">
        <f>H25</f>
        <v>100</v>
      </c>
      <c r="V25" s="774" t="s">
        <v>17</v>
      </c>
      <c r="W25" s="775">
        <f>J25</f>
        <v>100</v>
      </c>
      <c r="X25" s="1816"/>
      <c r="Y25" s="3256"/>
      <c r="Z25" s="1817" t="str">
        <f>Q25</f>
        <v>自然及人文环境状况</v>
      </c>
      <c r="AA25" s="1814">
        <f t="shared" si="3"/>
        <v>1</v>
      </c>
      <c r="AB25" s="1814">
        <f t="shared" si="4"/>
        <v>1</v>
      </c>
      <c r="AC25" s="1814">
        <f t="shared" si="5"/>
        <v>1</v>
      </c>
    </row>
    <row r="26" spans="1:29" ht="15">
      <c r="A26" s="404"/>
      <c r="B26" s="456"/>
      <c r="C26" s="2989" t="s">
        <v>3213</v>
      </c>
      <c r="D26" s="448"/>
      <c r="E26" s="2996" t="s">
        <v>3213</v>
      </c>
      <c r="F26" s="448"/>
      <c r="G26" s="2996" t="s">
        <v>3213</v>
      </c>
      <c r="H26" s="448"/>
      <c r="I26" s="2989" t="s">
        <v>3213</v>
      </c>
      <c r="J26" s="448"/>
      <c r="K26" s="672"/>
      <c r="L26" s="1143"/>
      <c r="M26" s="1134"/>
      <c r="N26" s="1134"/>
      <c r="O26" s="1142"/>
      <c r="P26" s="3256"/>
      <c r="Q26" s="1813"/>
      <c r="R26" s="774"/>
      <c r="S26" s="775"/>
      <c r="T26" s="774"/>
      <c r="U26" s="775"/>
      <c r="V26" s="774"/>
      <c r="W26" s="775"/>
      <c r="X26" s="1816"/>
      <c r="Y26" s="3256"/>
      <c r="Z26" s="1817"/>
      <c r="AA26" s="1814">
        <v>1</v>
      </c>
      <c r="AB26" s="1814">
        <v>1</v>
      </c>
      <c r="AC26" s="1814">
        <v>1</v>
      </c>
    </row>
    <row r="27" spans="1:29" s="117" customFormat="1" ht="42.75">
      <c r="A27" s="649"/>
      <c r="B27" s="1387" t="s">
        <v>2655</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56"/>
      <c r="Q27" s="1798" t="str">
        <f t="shared" si="8"/>
        <v>公共配套设施</v>
      </c>
      <c r="R27" s="770" t="s">
        <v>17</v>
      </c>
      <c r="S27" s="771">
        <f>F27</f>
        <v>100</v>
      </c>
      <c r="T27" s="770" t="s">
        <v>17</v>
      </c>
      <c r="U27" s="771">
        <f>H27</f>
        <v>100</v>
      </c>
      <c r="V27" s="770" t="s">
        <v>17</v>
      </c>
      <c r="W27" s="771">
        <f>J27</f>
        <v>100</v>
      </c>
      <c r="X27" s="772"/>
      <c r="Y27" s="3256"/>
      <c r="Z27" s="55" t="str">
        <f>Q27</f>
        <v>公共配套设施</v>
      </c>
      <c r="AA27" s="1814">
        <f>D27/F27</f>
        <v>1</v>
      </c>
      <c r="AB27" s="1814">
        <f>D27/H27</f>
        <v>1</v>
      </c>
      <c r="AC27" s="1814">
        <f>D27/J27</f>
        <v>1</v>
      </c>
    </row>
    <row r="28" spans="1:29" s="117" customFormat="1" ht="15">
      <c r="A28" s="649"/>
      <c r="B28" s="456"/>
      <c r="C28" s="2997" t="s">
        <v>3213</v>
      </c>
      <c r="D28" s="448"/>
      <c r="E28" s="2996" t="s">
        <v>3213</v>
      </c>
      <c r="F28" s="448"/>
      <c r="G28" s="2996" t="s">
        <v>3213</v>
      </c>
      <c r="H28" s="448"/>
      <c r="I28" s="2989" t="s">
        <v>3213</v>
      </c>
      <c r="J28" s="448"/>
      <c r="K28" s="672"/>
      <c r="L28" s="1135"/>
      <c r="M28" s="1136"/>
      <c r="N28" s="1136"/>
      <c r="O28" s="1137"/>
      <c r="P28" s="3256"/>
      <c r="Q28" s="1798"/>
      <c r="R28" s="770"/>
      <c r="S28" s="771"/>
      <c r="T28" s="770"/>
      <c r="U28" s="771"/>
      <c r="V28" s="770"/>
      <c r="W28" s="771"/>
      <c r="X28" s="772"/>
      <c r="Y28" s="3256"/>
      <c r="Z28" s="55"/>
      <c r="AA28" s="1814">
        <v>1</v>
      </c>
      <c r="AB28" s="1814">
        <v>1</v>
      </c>
      <c r="AC28" s="1814">
        <v>1</v>
      </c>
    </row>
    <row r="29" spans="1:29" s="117" customFormat="1" ht="28.5">
      <c r="A29" s="649"/>
      <c r="B29" s="1387"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56"/>
      <c r="Q29" s="1798" t="str">
        <f t="shared" ref="Q29" si="9">B29</f>
        <v>基础设施水平</v>
      </c>
      <c r="R29" s="770" t="s">
        <v>17</v>
      </c>
      <c r="S29" s="771">
        <f>F29</f>
        <v>100</v>
      </c>
      <c r="T29" s="770" t="s">
        <v>17</v>
      </c>
      <c r="U29" s="771">
        <f>H29</f>
        <v>100</v>
      </c>
      <c r="V29" s="770" t="s">
        <v>17</v>
      </c>
      <c r="W29" s="771">
        <f>J29</f>
        <v>100</v>
      </c>
      <c r="X29" s="772"/>
      <c r="Y29" s="3256"/>
      <c r="Z29" s="55" t="str">
        <f>Q29</f>
        <v>基础设施水平</v>
      </c>
      <c r="AA29" s="1814">
        <f>D29/F29</f>
        <v>1</v>
      </c>
      <c r="AB29" s="1814">
        <f>D29/H29</f>
        <v>1</v>
      </c>
      <c r="AC29" s="1814">
        <f>D29/J29</f>
        <v>1</v>
      </c>
    </row>
    <row r="30" spans="1:29" s="117" customFormat="1" ht="15">
      <c r="A30" s="649"/>
      <c r="B30" s="456"/>
      <c r="C30" s="2997" t="s">
        <v>3214</v>
      </c>
      <c r="D30" s="448"/>
      <c r="E30" s="2998" t="s">
        <v>3214</v>
      </c>
      <c r="F30" s="448"/>
      <c r="G30" s="2998" t="s">
        <v>3214</v>
      </c>
      <c r="H30" s="448"/>
      <c r="I30" s="2998" t="s">
        <v>3214</v>
      </c>
      <c r="J30" s="448"/>
      <c r="K30" s="672"/>
      <c r="L30" s="1135"/>
      <c r="M30" s="1136"/>
      <c r="N30" s="1136"/>
      <c r="O30" s="1137"/>
      <c r="P30" s="3256"/>
      <c r="Q30" s="1798"/>
      <c r="R30" s="770"/>
      <c r="S30" s="771"/>
      <c r="T30" s="770"/>
      <c r="U30" s="771"/>
      <c r="V30" s="770"/>
      <c r="W30" s="771"/>
      <c r="X30" s="772"/>
      <c r="Y30" s="3256"/>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56"/>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56"/>
      <c r="Q32" s="1813" t="str">
        <f t="shared" si="8"/>
        <v>毗邻道路的类型与等级</v>
      </c>
      <c r="R32" s="774" t="s">
        <v>17</v>
      </c>
      <c r="S32" s="775">
        <f t="shared" si="10"/>
        <v>100</v>
      </c>
      <c r="T32" s="774" t="s">
        <v>17</v>
      </c>
      <c r="U32" s="775">
        <f t="shared" si="11"/>
        <v>100</v>
      </c>
      <c r="V32" s="774" t="s">
        <v>17</v>
      </c>
      <c r="W32" s="775">
        <f t="shared" si="12"/>
        <v>100</v>
      </c>
      <c r="X32" s="1816"/>
      <c r="Y32" s="3256"/>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56"/>
      <c r="Q33" s="1813"/>
      <c r="R33" s="774"/>
      <c r="S33" s="775"/>
      <c r="T33" s="774"/>
      <c r="U33" s="775"/>
      <c r="V33" s="774"/>
      <c r="W33" s="775"/>
      <c r="X33" s="1816"/>
      <c r="Y33" s="3256"/>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6"/>
      <c r="Q34" s="1813" t="str">
        <f t="shared" si="8"/>
        <v>土地级别</v>
      </c>
      <c r="R34" s="774" t="s">
        <v>17</v>
      </c>
      <c r="S34" s="775">
        <f t="shared" si="10"/>
        <v>100</v>
      </c>
      <c r="T34" s="774" t="s">
        <v>17</v>
      </c>
      <c r="U34" s="775">
        <f t="shared" si="11"/>
        <v>100</v>
      </c>
      <c r="V34" s="774" t="s">
        <v>17</v>
      </c>
      <c r="W34" s="775">
        <f t="shared" si="12"/>
        <v>100</v>
      </c>
      <c r="X34" s="1816"/>
      <c r="Y34" s="325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6"/>
      <c r="Q35" s="1813">
        <f t="shared" si="8"/>
        <v>111</v>
      </c>
      <c r="R35" s="774" t="s">
        <v>17</v>
      </c>
      <c r="S35" s="775">
        <f t="shared" si="10"/>
        <v>100</v>
      </c>
      <c r="T35" s="774" t="s">
        <v>17</v>
      </c>
      <c r="U35" s="775">
        <f t="shared" si="11"/>
        <v>100</v>
      </c>
      <c r="V35" s="774" t="s">
        <v>17</v>
      </c>
      <c r="W35" s="775">
        <f t="shared" si="12"/>
        <v>100</v>
      </c>
      <c r="X35" s="1816"/>
      <c r="Y35" s="325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7" t="s">
        <v>2566</v>
      </c>
      <c r="Q36" s="1813">
        <f t="shared" si="8"/>
        <v>111</v>
      </c>
      <c r="R36" s="774" t="s">
        <v>17</v>
      </c>
      <c r="S36" s="775">
        <f t="shared" si="10"/>
        <v>100</v>
      </c>
      <c r="T36" s="774" t="s">
        <v>17</v>
      </c>
      <c r="U36" s="775">
        <f t="shared" si="11"/>
        <v>100</v>
      </c>
      <c r="V36" s="774" t="s">
        <v>17</v>
      </c>
      <c r="W36" s="775">
        <f t="shared" si="12"/>
        <v>100</v>
      </c>
      <c r="X36" s="1816"/>
      <c r="Y36" s="325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8"/>
      <c r="Q37" s="1813">
        <f t="shared" si="8"/>
        <v>111</v>
      </c>
      <c r="R37" s="777" t="s">
        <v>17</v>
      </c>
      <c r="S37" s="778">
        <f t="shared" si="10"/>
        <v>100</v>
      </c>
      <c r="T37" s="777" t="s">
        <v>17</v>
      </c>
      <c r="U37" s="778">
        <f t="shared" si="11"/>
        <v>100</v>
      </c>
      <c r="V37" s="777" t="s">
        <v>17</v>
      </c>
      <c r="W37" s="778">
        <f t="shared" si="12"/>
        <v>100</v>
      </c>
      <c r="X37" s="779"/>
      <c r="Y37" s="3258"/>
      <c r="Z37" s="780">
        <f t="shared" si="13"/>
        <v>111</v>
      </c>
      <c r="AA37" s="1814">
        <f t="shared" si="3"/>
        <v>1</v>
      </c>
      <c r="AB37" s="1814">
        <f t="shared" si="4"/>
        <v>1</v>
      </c>
      <c r="AC37" s="1814">
        <f t="shared" si="5"/>
        <v>1</v>
      </c>
    </row>
    <row r="38" spans="1:29" ht="15">
      <c r="A38" s="472" t="s">
        <v>2564</v>
      </c>
      <c r="B38" s="456" t="s">
        <v>2751</v>
      </c>
      <c r="C38" s="679">
        <v>439131.3</v>
      </c>
      <c r="D38" s="467">
        <v>100</v>
      </c>
      <c r="E38" s="679">
        <f>Sheet2!D3</f>
        <v>17099.400000000001</v>
      </c>
      <c r="F38" s="467">
        <f>LOOKUP(E38,117:117,118:118)-LOOKUP(C38,117:117,118:118)+100</f>
        <v>92</v>
      </c>
      <c r="G38" s="679">
        <f>Sheet2!D4</f>
        <v>18658.7</v>
      </c>
      <c r="H38" s="467">
        <f>LOOKUP(G38,117:117,118:118)-LOOKUP(C38,117:117,118:118)+100</f>
        <v>92</v>
      </c>
      <c r="I38" s="530">
        <f>Sheet2!D6</f>
        <v>33337.599999999999</v>
      </c>
      <c r="J38" s="467">
        <f>LOOKUP(I38,117:117,118:118)-LOOKUP(C38,117:117,118:118)+100</f>
        <v>92</v>
      </c>
      <c r="K38" s="613"/>
      <c r="L38" s="1143"/>
      <c r="M38" s="1134"/>
      <c r="N38" s="1134"/>
      <c r="O38" s="1142"/>
      <c r="P38" s="3258"/>
      <c r="Q38" s="1813" t="str">
        <f>B38</f>
        <v>宗地面积</v>
      </c>
      <c r="R38" s="774" t="s">
        <v>17</v>
      </c>
      <c r="S38" s="775">
        <f t="shared" si="10"/>
        <v>92</v>
      </c>
      <c r="T38" s="774" t="s">
        <v>17</v>
      </c>
      <c r="U38" s="775">
        <f t="shared" si="11"/>
        <v>92</v>
      </c>
      <c r="V38" s="774" t="s">
        <v>17</v>
      </c>
      <c r="W38" s="775">
        <f t="shared" si="12"/>
        <v>92</v>
      </c>
      <c r="X38" s="1816"/>
      <c r="Y38" s="3258"/>
      <c r="Z38" s="1817" t="str">
        <f t="shared" si="13"/>
        <v>宗地面积</v>
      </c>
      <c r="AA38" s="1814">
        <f t="shared" si="3"/>
        <v>1.0869565217391304</v>
      </c>
      <c r="AB38" s="1814">
        <f t="shared" si="4"/>
        <v>1.0869565217391304</v>
      </c>
      <c r="AC38" s="1814">
        <f t="shared" si="5"/>
        <v>1.0869565217391304</v>
      </c>
    </row>
    <row r="39" spans="1:29" ht="15">
      <c r="A39" s="472"/>
      <c r="B39" s="422" t="s">
        <v>2752</v>
      </c>
      <c r="C39" s="2999" t="s">
        <v>3215</v>
      </c>
      <c r="D39" s="435">
        <v>100</v>
      </c>
      <c r="E39" s="2999" t="s">
        <v>3215</v>
      </c>
      <c r="F39" s="435">
        <f>SUMIF(119:119,E39,120:120)-SUMIF(119:119,C39,120:120)+100</f>
        <v>100</v>
      </c>
      <c r="G39" s="2999" t="s">
        <v>3215</v>
      </c>
      <c r="H39" s="435">
        <f>SUMIF(119:119,G39,120:120)-SUMIF(119:119,C39,120:120)+100</f>
        <v>100</v>
      </c>
      <c r="I39" s="2999" t="s">
        <v>3217</v>
      </c>
      <c r="J39" s="435">
        <f>SUMIF(119:119,I39,120:120)-SUMIF(119:119,C39,120:120)+100</f>
        <v>100</v>
      </c>
      <c r="K39" s="612"/>
      <c r="L39" s="1143"/>
      <c r="M39" s="1134"/>
      <c r="N39" s="1134"/>
      <c r="O39" s="1142"/>
      <c r="P39" s="3258"/>
      <c r="Q39" s="1813" t="str">
        <f t="shared" ref="Q39:Q45" si="14">B39</f>
        <v>宗地形状</v>
      </c>
      <c r="R39" s="774" t="s">
        <v>17</v>
      </c>
      <c r="S39" s="775">
        <f t="shared" si="10"/>
        <v>100</v>
      </c>
      <c r="T39" s="774" t="s">
        <v>17</v>
      </c>
      <c r="U39" s="775">
        <f t="shared" si="11"/>
        <v>100</v>
      </c>
      <c r="V39" s="774" t="s">
        <v>17</v>
      </c>
      <c r="W39" s="775">
        <f t="shared" si="12"/>
        <v>100</v>
      </c>
      <c r="X39" s="1816"/>
      <c r="Y39" s="3258"/>
      <c r="Z39" s="1817" t="str">
        <f t="shared" si="13"/>
        <v>宗地形状</v>
      </c>
      <c r="AA39" s="1814">
        <f t="shared" si="3"/>
        <v>1</v>
      </c>
      <c r="AB39" s="1814">
        <f t="shared" si="4"/>
        <v>1</v>
      </c>
      <c r="AC39" s="1814">
        <f t="shared" si="5"/>
        <v>1</v>
      </c>
    </row>
    <row r="40" spans="1:29" ht="15">
      <c r="A40" s="472"/>
      <c r="B40" s="422" t="s">
        <v>2753</v>
      </c>
      <c r="C40" s="2999" t="s">
        <v>3213</v>
      </c>
      <c r="D40" s="435">
        <v>100</v>
      </c>
      <c r="E40" s="2999" t="s">
        <v>3213</v>
      </c>
      <c r="F40" s="435">
        <f>SUMIF(121:121,E40,122:122)-SUMIF(121:121,C40,122:122)+100</f>
        <v>100</v>
      </c>
      <c r="G40" s="2999" t="s">
        <v>3213</v>
      </c>
      <c r="H40" s="435">
        <f>SUMIF(121:121,G40,122:122)-SUMIF(121:121,C40,122:122)+100</f>
        <v>100</v>
      </c>
      <c r="I40" s="2999" t="s">
        <v>3213</v>
      </c>
      <c r="J40" s="435">
        <f>SUMIF(121:121,I40,122:122)-SUMIF(121:121,C40,122:122)+100</f>
        <v>100</v>
      </c>
      <c r="K40" s="612"/>
      <c r="L40" s="1143"/>
      <c r="M40" s="1134"/>
      <c r="N40" s="1134"/>
      <c r="O40" s="1142"/>
      <c r="P40" s="3258"/>
      <c r="Q40" s="1813" t="str">
        <f t="shared" si="14"/>
        <v>临街宽度及深度</v>
      </c>
      <c r="R40" s="774" t="s">
        <v>17</v>
      </c>
      <c r="S40" s="775">
        <f t="shared" si="10"/>
        <v>100</v>
      </c>
      <c r="T40" s="774" t="s">
        <v>17</v>
      </c>
      <c r="U40" s="775">
        <f t="shared" si="11"/>
        <v>100</v>
      </c>
      <c r="V40" s="774" t="s">
        <v>17</v>
      </c>
      <c r="W40" s="775">
        <f t="shared" si="12"/>
        <v>100</v>
      </c>
      <c r="X40" s="1816"/>
      <c r="Y40" s="3258"/>
      <c r="Z40" s="1817" t="str">
        <f t="shared" si="13"/>
        <v>临街宽度及深度</v>
      </c>
      <c r="AA40" s="1814">
        <f t="shared" si="3"/>
        <v>1</v>
      </c>
      <c r="AB40" s="1814">
        <f t="shared" si="4"/>
        <v>1</v>
      </c>
      <c r="AC40" s="1814">
        <f t="shared" si="5"/>
        <v>1</v>
      </c>
    </row>
    <row r="41" spans="1:29" s="117" customFormat="1" ht="15">
      <c r="A41" s="473"/>
      <c r="B41" s="422" t="s">
        <v>2754</v>
      </c>
      <c r="C41" s="3000" t="s">
        <v>3214</v>
      </c>
      <c r="D41" s="136">
        <v>100</v>
      </c>
      <c r="E41" s="3000" t="s">
        <v>3216</v>
      </c>
      <c r="F41" s="435">
        <f>SUMIF(123:123,E41,124:124)-SUMIF(123:123,C41,124:124)+100</f>
        <v>100</v>
      </c>
      <c r="G41" s="3000" t="s">
        <v>3216</v>
      </c>
      <c r="H41" s="435">
        <f>SUMIF(123:123,G41,124:124)-SUMIF(123:123,C41,124:124)+100</f>
        <v>100</v>
      </c>
      <c r="I41" s="3000" t="s">
        <v>3216</v>
      </c>
      <c r="J41" s="435">
        <f>SUMIF(123:123,I41,124:124)-SUMIF(123:123,C41,124:124)+100</f>
        <v>100</v>
      </c>
      <c r="K41" s="612"/>
      <c r="L41" s="1135"/>
      <c r="M41" s="1136"/>
      <c r="N41" s="1136"/>
      <c r="O41" s="1137"/>
      <c r="P41" s="3258"/>
      <c r="Q41" s="1813" t="str">
        <f t="shared" si="14"/>
        <v>宗地开发程度</v>
      </c>
      <c r="R41" s="770" t="s">
        <v>17</v>
      </c>
      <c r="S41" s="771">
        <f t="shared" si="10"/>
        <v>100</v>
      </c>
      <c r="T41" s="770" t="s">
        <v>17</v>
      </c>
      <c r="U41" s="771">
        <f t="shared" si="11"/>
        <v>100</v>
      </c>
      <c r="V41" s="770" t="s">
        <v>17</v>
      </c>
      <c r="W41" s="771">
        <f t="shared" si="12"/>
        <v>100</v>
      </c>
      <c r="X41" s="772"/>
      <c r="Y41" s="3258"/>
      <c r="Z41" s="55" t="str">
        <f t="shared" si="13"/>
        <v>宗地开发程度</v>
      </c>
      <c r="AA41" s="773">
        <f t="shared" si="3"/>
        <v>1</v>
      </c>
      <c r="AB41" s="773">
        <f t="shared" si="4"/>
        <v>1</v>
      </c>
      <c r="AC41" s="773">
        <f t="shared" si="5"/>
        <v>1</v>
      </c>
    </row>
    <row r="42" spans="1:29" ht="15">
      <c r="A42" s="472"/>
      <c r="B42" s="422" t="s">
        <v>2755</v>
      </c>
      <c r="C42" s="2999" t="s">
        <v>3213</v>
      </c>
      <c r="D42" s="435">
        <v>100</v>
      </c>
      <c r="E42" s="2999" t="s">
        <v>3213</v>
      </c>
      <c r="F42" s="435">
        <f>SUMIF(125:125,E42,126:126)-SUMIF(125:125,C42,126:126)+100</f>
        <v>100</v>
      </c>
      <c r="G42" s="2999" t="s">
        <v>3213</v>
      </c>
      <c r="H42" s="435">
        <f>SUMIF(125:125,G42,126:126)-SUMIF(125:125,C42,126:126)+100</f>
        <v>100</v>
      </c>
      <c r="I42" s="2999" t="s">
        <v>3213</v>
      </c>
      <c r="J42" s="435">
        <f>SUMIF(125:125,I42,126:126)-SUMIF(125:125,C42,126:126)+100</f>
        <v>100</v>
      </c>
      <c r="K42" s="612"/>
      <c r="L42" s="1143"/>
      <c r="M42" s="1134"/>
      <c r="N42" s="1134"/>
      <c r="O42" s="1142"/>
      <c r="P42" s="3258" t="s">
        <v>2566</v>
      </c>
      <c r="Q42" s="1813" t="str">
        <f t="shared" si="14"/>
        <v>工程地质条件</v>
      </c>
      <c r="R42" s="774" t="s">
        <v>17</v>
      </c>
      <c r="S42" s="775">
        <f t="shared" si="10"/>
        <v>100</v>
      </c>
      <c r="T42" s="774" t="s">
        <v>17</v>
      </c>
      <c r="U42" s="775">
        <f t="shared" si="11"/>
        <v>100</v>
      </c>
      <c r="V42" s="774" t="s">
        <v>17</v>
      </c>
      <c r="W42" s="775">
        <f t="shared" si="12"/>
        <v>100</v>
      </c>
      <c r="X42" s="1816"/>
      <c r="Y42" s="325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8"/>
      <c r="Q43" s="1813">
        <f t="shared" si="14"/>
        <v>111</v>
      </c>
      <c r="R43" s="774" t="s">
        <v>17</v>
      </c>
      <c r="S43" s="775">
        <f t="shared" si="10"/>
        <v>100</v>
      </c>
      <c r="T43" s="774" t="s">
        <v>17</v>
      </c>
      <c r="U43" s="775">
        <f t="shared" si="11"/>
        <v>100</v>
      </c>
      <c r="V43" s="774" t="s">
        <v>17</v>
      </c>
      <c r="W43" s="775">
        <f t="shared" si="12"/>
        <v>100</v>
      </c>
      <c r="X43" s="1816"/>
      <c r="Y43" s="325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8"/>
      <c r="Q44" s="1813">
        <f t="shared" si="14"/>
        <v>111</v>
      </c>
      <c r="R44" s="774" t="s">
        <v>17</v>
      </c>
      <c r="S44" s="775">
        <f t="shared" si="10"/>
        <v>100</v>
      </c>
      <c r="T44" s="774" t="s">
        <v>17</v>
      </c>
      <c r="U44" s="775">
        <f t="shared" si="11"/>
        <v>100</v>
      </c>
      <c r="V44" s="774" t="s">
        <v>17</v>
      </c>
      <c r="W44" s="775">
        <f t="shared" si="12"/>
        <v>100</v>
      </c>
      <c r="X44" s="1816"/>
      <c r="Y44" s="3258"/>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8"/>
      <c r="Q45" s="1813">
        <f t="shared" si="14"/>
        <v>111</v>
      </c>
      <c r="R45" s="777" t="s">
        <v>17</v>
      </c>
      <c r="S45" s="778">
        <f t="shared" si="10"/>
        <v>100</v>
      </c>
      <c r="T45" s="777" t="s">
        <v>17</v>
      </c>
      <c r="U45" s="778">
        <f t="shared" si="11"/>
        <v>100</v>
      </c>
      <c r="V45" s="777" t="s">
        <v>17</v>
      </c>
      <c r="W45" s="778">
        <f t="shared" si="12"/>
        <v>100</v>
      </c>
      <c r="X45" s="779"/>
      <c r="Y45" s="3258"/>
      <c r="Z45" s="780">
        <f t="shared" si="13"/>
        <v>111</v>
      </c>
      <c r="AA45" s="1814">
        <f t="shared" si="3"/>
        <v>1</v>
      </c>
      <c r="AB45" s="1814">
        <f t="shared" si="4"/>
        <v>1</v>
      </c>
      <c r="AC45" s="1814">
        <f t="shared" si="5"/>
        <v>1</v>
      </c>
    </row>
    <row r="46" spans="1:29" ht="15">
      <c r="A46" s="479" t="s">
        <v>2721</v>
      </c>
      <c r="B46" s="2709" t="s">
        <v>2756</v>
      </c>
      <c r="C46" s="682" t="s">
        <v>1</v>
      </c>
      <c r="D46" s="481"/>
      <c r="E46" s="482">
        <v>1977</v>
      </c>
      <c r="F46" s="483"/>
      <c r="G46" s="484">
        <v>2134</v>
      </c>
      <c r="H46" s="485"/>
      <c r="I46" s="482">
        <v>2305</v>
      </c>
      <c r="J46" s="485"/>
      <c r="K46" s="783"/>
      <c r="L46" s="1146"/>
      <c r="M46" s="1147"/>
      <c r="N46" s="1134"/>
      <c r="O46" s="1147"/>
      <c r="P46" s="3253" t="str">
        <f>A46</f>
        <v>成交单价</v>
      </c>
      <c r="Q46" s="3253"/>
      <c r="R46" s="3259">
        <f>E46</f>
        <v>1977</v>
      </c>
      <c r="S46" s="3259"/>
      <c r="T46" s="3259">
        <f>G46</f>
        <v>2134</v>
      </c>
      <c r="U46" s="3259"/>
      <c r="V46" s="3259">
        <f>I46</f>
        <v>2305</v>
      </c>
      <c r="W46" s="3259"/>
      <c r="X46" s="759"/>
      <c r="Y46" s="781"/>
      <c r="Z46" s="759"/>
      <c r="AA46" s="759"/>
      <c r="AB46" s="759"/>
      <c r="AC46" s="759"/>
    </row>
    <row r="47" spans="1:29" ht="15.75" thickBot="1">
      <c r="A47" s="486" t="s">
        <v>2670</v>
      </c>
      <c r="B47" s="683"/>
      <c r="C47" s="490">
        <f>R48</f>
        <v>2127</v>
      </c>
      <c r="D47" s="489"/>
      <c r="E47" s="490">
        <f>R47</f>
        <v>1930</v>
      </c>
      <c r="F47" s="491"/>
      <c r="G47" s="488">
        <f>T47</f>
        <v>2083</v>
      </c>
      <c r="H47" s="489"/>
      <c r="I47" s="490">
        <f>V47</f>
        <v>2369</v>
      </c>
      <c r="J47" s="489"/>
      <c r="K47" s="784"/>
      <c r="L47" s="1146"/>
      <c r="M47" s="1147"/>
      <c r="N47" s="1147"/>
      <c r="O47" s="1147"/>
      <c r="P47" s="3253" t="str">
        <f>A47</f>
        <v>比较价值（元/平方米）</v>
      </c>
      <c r="Q47" s="3253"/>
      <c r="R47" s="3246">
        <f>ROUND(PRODUCT(R46,AA7:AA45),0)</f>
        <v>1930</v>
      </c>
      <c r="S47" s="3246"/>
      <c r="T47" s="3246">
        <f>ROUND(PRODUCT(T46,AB7:AB45),0)</f>
        <v>2083</v>
      </c>
      <c r="U47" s="3246"/>
      <c r="V47" s="3246">
        <f>ROUND(PRODUCT(V46,AC7:AC45),0)</f>
        <v>2369</v>
      </c>
      <c r="W47" s="3246"/>
      <c r="X47" s="759"/>
      <c r="Y47" s="759"/>
      <c r="Z47" s="759"/>
      <c r="AA47" s="759"/>
      <c r="AB47" s="759"/>
      <c r="AC47" s="759"/>
    </row>
    <row r="48" spans="1:29" ht="15.75" thickBot="1">
      <c r="A48" s="492" t="s">
        <v>2757</v>
      </c>
      <c r="B48" s="493"/>
      <c r="C48" s="494">
        <f>R48</f>
        <v>2127</v>
      </c>
      <c r="D48" s="494"/>
      <c r="E48" s="494"/>
      <c r="F48" s="494"/>
      <c r="G48" s="494"/>
      <c r="H48" s="494"/>
      <c r="I48" s="494"/>
      <c r="J48" s="494"/>
      <c r="K48" s="785"/>
      <c r="L48" s="1146"/>
      <c r="M48" s="1147"/>
      <c r="N48" s="1147"/>
      <c r="O48" s="1147"/>
      <c r="P48" s="3247" t="str">
        <f>A48</f>
        <v>估价对象XX用房的比较价值（楼面单价，元/平方米）</v>
      </c>
      <c r="Q48" s="3248"/>
      <c r="R48" s="3249">
        <f>ROUND(AVERAGE(R47:V47),0)</f>
        <v>2127</v>
      </c>
      <c r="S48" s="3249"/>
      <c r="T48" s="3249"/>
      <c r="U48" s="3249"/>
      <c r="V48" s="3249"/>
      <c r="W48" s="324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2.4352331606217525E-2</v>
      </c>
      <c r="F51" s="500" t="str">
        <f>IF(OR(E51&gt;=0.3,E51&lt;=-0.3),"超过30%","")</f>
        <v/>
      </c>
      <c r="G51" s="499">
        <f>IF(G46&lt;G47,G47/G46-1,G46/G47-1)</f>
        <v>2.4483917426788349E-2</v>
      </c>
      <c r="H51" s="500" t="str">
        <f>IF(OR(G51&gt;=0.3,G51&lt;=-0.3),"超过30%","")</f>
        <v/>
      </c>
      <c r="I51" s="499">
        <f>IF(I46&lt;I47,I47/I46-1,I46/I47-1)</f>
        <v>2.7765726681127978E-2</v>
      </c>
      <c r="J51" s="500" t="str">
        <f>IF(OR(I51&gt;=0.3,I51&lt;=-0.3),"超过30%","")</f>
        <v/>
      </c>
      <c r="K51" s="1108"/>
      <c r="L51" s="1109"/>
      <c r="M51" s="1147"/>
      <c r="N51" s="1147"/>
      <c r="O51" s="1147"/>
    </row>
    <row r="52" spans="1:15" ht="13.5" customHeight="1">
      <c r="A52" s="1147"/>
      <c r="B52" s="1147"/>
      <c r="C52" s="497" t="s">
        <v>2673</v>
      </c>
      <c r="D52" s="501"/>
      <c r="E52" s="499">
        <f>IF(E47&lt;G47,G47/E47-1,E47/G47-1)</f>
        <v>7.9274611398963746E-2</v>
      </c>
      <c r="F52" s="500" t="str">
        <f>IF(OR(E52&gt;=0.2,E52&lt;=-0.2),"超过20%","")</f>
        <v/>
      </c>
      <c r="G52" s="499">
        <f>IF(G47&lt;I47,I47/G47-1,G47/I47-1)</f>
        <v>0.13730196831493036</v>
      </c>
      <c r="H52" s="500" t="str">
        <f>IF(OR(G52&gt;=0.2,G52&lt;=-0.2),"超过20%","")</f>
        <v/>
      </c>
      <c r="I52" s="499">
        <f>IF(I47&lt;E47,E47/I47-1,I47/E47-1)</f>
        <v>0.22746113989637307</v>
      </c>
      <c r="J52" s="500" t="str">
        <f>IF(OR(I52&gt;=0.2,I52&lt;=-0.2),"超过20%","")</f>
        <v>超过20%</v>
      </c>
      <c r="K52" s="1108"/>
      <c r="L52" s="1109"/>
      <c r="M52" s="1147"/>
      <c r="N52" s="1147"/>
      <c r="O52" s="1147"/>
    </row>
    <row r="53" spans="1:15" s="502" customFormat="1" ht="13.5" customHeight="1">
      <c r="A53" s="1148"/>
      <c r="B53" s="1148"/>
      <c r="C53" s="497" t="s">
        <v>2674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0" t="s">
        <v>3251</v>
      </c>
      <c r="D55" s="2711" t="s">
        <v>2761</v>
      </c>
      <c r="E55" s="686" t="s">
        <v>2762</v>
      </c>
      <c r="F55" s="1110" t="s">
        <v>2763</v>
      </c>
      <c r="G55" s="3250" t="s">
        <v>2764</v>
      </c>
      <c r="H55" s="3251"/>
      <c r="I55" s="144" t="s">
        <v>2765</v>
      </c>
      <c r="J55" s="2712">
        <f>项目基本情况!F35</f>
        <v>0</v>
      </c>
      <c r="K55" s="2713" t="s">
        <v>2766</v>
      </c>
      <c r="L55" s="1109"/>
      <c r="M55" s="1147"/>
      <c r="N55" s="1147"/>
      <c r="O55" s="1147"/>
    </row>
    <row r="56" spans="1:15" s="692" customFormat="1">
      <c r="A56" s="688" t="s">
        <v>2767</v>
      </c>
      <c r="B56" s="689">
        <f>C48</f>
        <v>2127</v>
      </c>
      <c r="C56" s="690">
        <v>1</v>
      </c>
      <c r="D56" s="1166">
        <v>1</v>
      </c>
      <c r="E56" s="690">
        <f>'数据-汇总表'!E8+'数据-汇总表'!E9</f>
        <v>24473.659999999996</v>
      </c>
      <c r="F56" s="1106">
        <f t="shared" ref="F56:F65" si="15">ROUND(B56*E56/10000,0)</f>
        <v>5206</v>
      </c>
      <c r="G56" s="3252"/>
      <c r="H56" s="3253"/>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f>'数据-汇总表'!G19</f>
        <v>9518.2599999999984</v>
      </c>
      <c r="F57" s="1106">
        <f t="shared" si="15"/>
        <v>0</v>
      </c>
      <c r="G57" s="3254"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54"/>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54"/>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54"/>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4"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4"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5"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33991.919999999998</v>
      </c>
      <c r="F66" s="697">
        <f>IF(B46="楼面地价",SUM(F56:F65),ROUND(C48*E66/10000,0))</f>
        <v>5206</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2782</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7" t="s">
        <v>2783</v>
      </c>
      <c r="B71" s="332" t="str">
        <f>"北京市平均增长率"&amp;TEXT(SUMIF(基准地价修正!N21:N25,A71,基准地价修正!P21:P25),"0.00%")</f>
        <v>北京市平均增长率2.34%</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300000(含)-350000</v>
      </c>
      <c r="J116" s="529" t="str">
        <f t="shared" si="25"/>
        <v>350000(含)-400000</v>
      </c>
      <c r="K116" s="529" t="str">
        <f t="shared" si="25"/>
        <v>400000(含)-450000</v>
      </c>
      <c r="L116" s="529" t="str">
        <f t="shared" si="25"/>
        <v>450000(含)-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v>250000</v>
      </c>
      <c r="I117" s="595">
        <v>300000</v>
      </c>
      <c r="J117" s="596">
        <v>350000</v>
      </c>
      <c r="K117" s="596">
        <v>400000</v>
      </c>
      <c r="L117" s="597">
        <v>450000</v>
      </c>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v>107</v>
      </c>
      <c r="K118" s="591">
        <v>108</v>
      </c>
      <c r="L118" s="591">
        <v>109</v>
      </c>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2527</v>
      </c>
      <c r="B1" s="2568"/>
      <c r="C1" s="2568"/>
      <c r="D1" s="2568"/>
      <c r="E1" s="2569"/>
    </row>
    <row r="2" spans="1:6" ht="15.75">
      <c r="A2" s="2570" t="s">
        <v>2328</v>
      </c>
      <c r="B2" s="2571">
        <f ca="1">SUMIF(B6:B13,"&lt;&gt;#ref!",B6:B13)</f>
        <v>27936</v>
      </c>
      <c r="C2" s="2572" t="s">
        <v>2520</v>
      </c>
      <c r="D2" s="2573" t="s">
        <v>2521</v>
      </c>
      <c r="E2" s="2574">
        <f>SUM(E6:E13)</f>
        <v>33991.919999999998</v>
      </c>
    </row>
    <row r="3" spans="1:6" ht="15.75">
      <c r="A3" s="2570" t="s">
        <v>1391</v>
      </c>
      <c r="B3" s="2571">
        <f ca="1">ROUND(B2*10000/E2,0)</f>
        <v>8218</v>
      </c>
      <c r="C3" s="2572" t="s">
        <v>2528</v>
      </c>
      <c r="D3" s="2575"/>
      <c r="E3" s="2576"/>
    </row>
    <row r="4" spans="1:6" ht="15.75">
      <c r="A4" s="2577"/>
      <c r="B4" s="2575"/>
      <c r="C4" s="2575"/>
      <c r="D4" s="2575"/>
      <c r="E4" s="2576"/>
    </row>
    <row r="5" spans="1:6" ht="15">
      <c r="A5" s="2578" t="s">
        <v>2522</v>
      </c>
      <c r="B5" s="3289" t="s">
        <v>2523</v>
      </c>
      <c r="C5" s="3289"/>
      <c r="D5" s="2579"/>
      <c r="E5" s="2580" t="s">
        <v>2524</v>
      </c>
      <c r="F5" s="2581" t="s">
        <v>2525</v>
      </c>
    </row>
    <row r="6" spans="1:6">
      <c r="A6" s="2582" t="str">
        <f>'数据-取费表'!AN6</f>
        <v>收益法</v>
      </c>
      <c r="B6" s="2581">
        <f ca="1">IF(F6="是",'数据-取费表'!AO6,0)</f>
        <v>24834</v>
      </c>
      <c r="C6" s="2572" t="s">
        <v>2520</v>
      </c>
      <c r="D6" s="2575"/>
      <c r="E6" s="2583">
        <f>IF(OR(A6=0,F6="否"),0,'数据-取费表'!K6+'数据-取费表'!S6)</f>
        <v>30847.029999999995</v>
      </c>
      <c r="F6" s="2584" t="s">
        <v>2526</v>
      </c>
    </row>
    <row r="7" spans="1:6">
      <c r="A7" s="2582" t="str">
        <f>'数据-取费表'!AN7</f>
        <v>收益法-车库</v>
      </c>
      <c r="B7" s="2581">
        <f ca="1">IF(F7="是",'数据-取费表'!AO7,0)</f>
        <v>0</v>
      </c>
      <c r="C7" s="2572" t="s">
        <v>2520</v>
      </c>
      <c r="D7" s="2575"/>
      <c r="E7" s="2583">
        <f>IF(OR(A7=0,F7="否"),0,'数据-取费表'!K7+'数据-取费表'!S7)</f>
        <v>0</v>
      </c>
      <c r="F7" s="2584" t="s">
        <v>2526</v>
      </c>
    </row>
    <row r="8" spans="1:6">
      <c r="A8" s="2582" t="str">
        <f>'数据-取费表'!AN8</f>
        <v>收益法-办公</v>
      </c>
      <c r="B8" s="2581">
        <f ca="1">IF(F8="是",'数据-取费表'!AO8,0)</f>
        <v>3102</v>
      </c>
      <c r="C8" s="2572" t="s">
        <v>2520</v>
      </c>
      <c r="D8" s="2575"/>
      <c r="E8" s="2583">
        <f>IF(OR(A8=0,F8="否"),0,'数据-取费表'!K8+'数据-取费表'!S8)</f>
        <v>3144.8900000000003</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L28" sqref="L2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2643</v>
      </c>
      <c r="C1" s="1637" t="s">
        <v>2531</v>
      </c>
      <c r="D1" s="1624" t="s">
        <v>1373</v>
      </c>
      <c r="E1" s="2663"/>
      <c r="F1" s="2590" t="s">
        <v>3255</v>
      </c>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f>IF(C2="——",ROUND(C49*D3/10000,0),ROUND(C49*D3/10000,0)-D2)</f>
        <v>81822</v>
      </c>
      <c r="C2" s="2592" t="s">
        <v>70</v>
      </c>
      <c r="D2" s="1368"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f>IF(C2="——",C49,ROUND(B2*10000/D3,0))</f>
        <v>26525</v>
      </c>
      <c r="C3" s="400" t="s">
        <v>2645</v>
      </c>
      <c r="D3" s="399">
        <f>IF(D1="",'数据-汇总表'!E3,SUMIF('数据-汇总表'!$C19:$C33,D1,'数据-汇总表'!$E19:$E33))</f>
        <v>30847.029999999995</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250" t="s">
        <v>2647</v>
      </c>
      <c r="D4" s="3263"/>
      <c r="E4" s="3264" t="s">
        <v>2648</v>
      </c>
      <c r="F4" s="3265"/>
      <c r="G4" s="3250" t="s">
        <v>2649</v>
      </c>
      <c r="H4" s="3263"/>
      <c r="I4" s="3250" t="s">
        <v>2650</v>
      </c>
      <c r="J4" s="3263"/>
      <c r="K4" s="610" t="s">
        <v>2651</v>
      </c>
      <c r="L4" s="1133"/>
      <c r="M4" s="1134"/>
      <c r="N4" s="1134"/>
      <c r="O4" s="1134"/>
      <c r="P4" s="3266" t="s">
        <v>2652</v>
      </c>
      <c r="Q4" s="3267"/>
      <c r="R4" s="3272" t="s">
        <v>2648</v>
      </c>
      <c r="S4" s="3273"/>
      <c r="T4" s="3272" t="s">
        <v>2649</v>
      </c>
      <c r="U4" s="3273"/>
      <c r="V4" s="3259" t="s">
        <v>2650</v>
      </c>
      <c r="W4" s="3259"/>
      <c r="X4" s="1816"/>
      <c r="Y4" s="3272" t="s">
        <v>2652</v>
      </c>
      <c r="Z4" s="3273"/>
      <c r="AA4" s="3260" t="s">
        <v>2648</v>
      </c>
      <c r="AB4" s="3259" t="s">
        <v>2649</v>
      </c>
      <c r="AC4" s="3260" t="s">
        <v>2650</v>
      </c>
    </row>
    <row r="5" spans="1:29" ht="15">
      <c r="A5" s="404"/>
      <c r="B5" s="405"/>
      <c r="C5" s="3280" t="s">
        <v>2543</v>
      </c>
      <c r="D5" s="3281"/>
      <c r="E5" s="3299" t="s">
        <v>3301</v>
      </c>
      <c r="F5" s="3288"/>
      <c r="G5" s="3298" t="s">
        <v>3302</v>
      </c>
      <c r="H5" s="3281"/>
      <c r="I5" s="3298" t="s">
        <v>3281</v>
      </c>
      <c r="J5" s="3281"/>
      <c r="K5" s="610"/>
      <c r="L5" s="1133"/>
      <c r="M5" s="1134"/>
      <c r="N5" s="1134"/>
      <c r="O5" s="1134"/>
      <c r="P5" s="3268"/>
      <c r="Q5" s="3269"/>
      <c r="R5" s="3274"/>
      <c r="S5" s="3275"/>
      <c r="T5" s="3274"/>
      <c r="U5" s="3275"/>
      <c r="V5" s="3259"/>
      <c r="W5" s="3259"/>
      <c r="X5" s="1816"/>
      <c r="Y5" s="3274"/>
      <c r="Z5" s="3275"/>
      <c r="AA5" s="3261"/>
      <c r="AB5" s="3259"/>
      <c r="AC5" s="3261"/>
    </row>
    <row r="6" spans="1:29" ht="15.75" thickBot="1">
      <c r="A6" s="406"/>
      <c r="B6" s="407"/>
      <c r="C6" s="3278" t="s">
        <v>2547</v>
      </c>
      <c r="D6" s="3279"/>
      <c r="E6" s="3285" t="s">
        <v>2547</v>
      </c>
      <c r="F6" s="3286"/>
      <c r="G6" s="3278" t="s">
        <v>2547</v>
      </c>
      <c r="H6" s="3279"/>
      <c r="I6" s="3278" t="s">
        <v>2547</v>
      </c>
      <c r="J6" s="3279"/>
      <c r="K6" s="610" t="s">
        <v>2548</v>
      </c>
      <c r="L6" s="1133"/>
      <c r="M6" s="1134"/>
      <c r="N6" s="1134"/>
      <c r="O6" s="1134"/>
      <c r="P6" s="3270"/>
      <c r="Q6" s="3271"/>
      <c r="R6" s="3274"/>
      <c r="S6" s="3275"/>
      <c r="T6" s="3276"/>
      <c r="U6" s="3277"/>
      <c r="V6" s="3259"/>
      <c r="W6" s="3259"/>
      <c r="X6" s="1816"/>
      <c r="Y6" s="3276"/>
      <c r="Z6" s="3277"/>
      <c r="AA6" s="3262"/>
      <c r="AB6" s="3259"/>
      <c r="AC6" s="3262"/>
    </row>
    <row r="7" spans="1:29" s="117" customFormat="1" ht="15.75" thickBot="1">
      <c r="A7" s="408" t="s">
        <v>2549</v>
      </c>
      <c r="B7" s="409"/>
      <c r="C7" s="410">
        <f>'数据-取费表'!B2</f>
        <v>43532</v>
      </c>
      <c r="D7" s="411">
        <v>100</v>
      </c>
      <c r="E7" s="412">
        <v>43525</v>
      </c>
      <c r="F7" s="413">
        <f>SUMIF(58:58,YEAR(E7)&amp;"-"&amp;MONTH(E7),59:59)</f>
        <v>100</v>
      </c>
      <c r="G7" s="412">
        <v>43525</v>
      </c>
      <c r="H7" s="411">
        <f>SUMIF(58:58,YEAR(G7)&amp;"-"&amp;MONTH(G7),59:59)</f>
        <v>100</v>
      </c>
      <c r="I7" s="412">
        <v>43525</v>
      </c>
      <c r="J7" s="411">
        <f>SUMIF(58:58,YEAR(I7)&amp;"-"&amp;MONTH(I7),59:59)</f>
        <v>100</v>
      </c>
      <c r="K7" s="611"/>
      <c r="L7" s="1135"/>
      <c r="M7" s="1136"/>
      <c r="N7" s="1136"/>
      <c r="O7" s="1136"/>
      <c r="P7" s="3282" t="s">
        <v>2550</v>
      </c>
      <c r="Q7" s="3284"/>
      <c r="R7" s="770" t="s">
        <v>17</v>
      </c>
      <c r="S7" s="771">
        <f t="shared" ref="S7:S15" si="0">F7</f>
        <v>100</v>
      </c>
      <c r="T7" s="770" t="s">
        <v>17</v>
      </c>
      <c r="U7" s="771">
        <f t="shared" ref="U7:U15" si="1">H7</f>
        <v>100</v>
      </c>
      <c r="V7" s="770" t="s">
        <v>17</v>
      </c>
      <c r="W7" s="771">
        <f t="shared" ref="W7:W15" si="2">J7</f>
        <v>100</v>
      </c>
      <c r="X7" s="772"/>
      <c r="Y7" s="3282" t="s">
        <v>2550</v>
      </c>
      <c r="Z7" s="3283"/>
      <c r="AA7" s="773">
        <f>D7/F7</f>
        <v>1</v>
      </c>
      <c r="AB7" s="773">
        <f>D7/H7</f>
        <v>1</v>
      </c>
      <c r="AC7" s="773">
        <f>D7/J7</f>
        <v>1</v>
      </c>
    </row>
    <row r="8" spans="1:29" s="117" customFormat="1" ht="15.75" thickBot="1">
      <c r="A8" s="408" t="s">
        <v>2551</v>
      </c>
      <c r="B8" s="409"/>
      <c r="C8" s="414" t="s">
        <v>2653</v>
      </c>
      <c r="D8" s="411">
        <v>100</v>
      </c>
      <c r="E8" s="3003" t="s">
        <v>3282</v>
      </c>
      <c r="F8" s="413">
        <f>SUMIF(61:61,E8,62:62)-SUMIF(61:61,C8,62:62)+100</f>
        <v>100</v>
      </c>
      <c r="G8" s="3003" t="s">
        <v>3282</v>
      </c>
      <c r="H8" s="411">
        <f>SUMIF(61:61,G8,62:62)-SUMIF(61:61,C8,62:62)+100</f>
        <v>100</v>
      </c>
      <c r="I8" s="3003" t="s">
        <v>3282</v>
      </c>
      <c r="J8" s="411">
        <f>SUMIF(61:61,I8,62:62)-SUMIF(61:61,C8,62:62)+100</f>
        <v>100</v>
      </c>
      <c r="K8" s="611"/>
      <c r="L8" s="1135"/>
      <c r="M8" s="1136"/>
      <c r="N8" s="1136"/>
      <c r="O8" s="1136"/>
      <c r="P8" s="3282" t="s">
        <v>2553</v>
      </c>
      <c r="Q8" s="3283"/>
      <c r="R8" s="770" t="s">
        <v>17</v>
      </c>
      <c r="S8" s="771">
        <f t="shared" si="0"/>
        <v>100</v>
      </c>
      <c r="T8" s="770" t="s">
        <v>17</v>
      </c>
      <c r="U8" s="771">
        <f t="shared" si="1"/>
        <v>100</v>
      </c>
      <c r="V8" s="770" t="s">
        <v>17</v>
      </c>
      <c r="W8" s="771">
        <f t="shared" si="2"/>
        <v>100</v>
      </c>
      <c r="X8" s="772"/>
      <c r="Y8" s="3282" t="s">
        <v>2553</v>
      </c>
      <c r="Z8" s="3283"/>
      <c r="AA8" s="773">
        <f t="shared" ref="AA8:AA46" si="3">D8/F8</f>
        <v>1</v>
      </c>
      <c r="AB8" s="773">
        <f t="shared" ref="AB8:AB46" si="4">D8/H8</f>
        <v>1</v>
      </c>
      <c r="AC8" s="773">
        <f t="shared" ref="AC8:AC46" si="5">D8/J8</f>
        <v>1</v>
      </c>
    </row>
    <row r="9" spans="1:29" s="117" customFormat="1">
      <c r="A9" s="415" t="s">
        <v>2554</v>
      </c>
      <c r="B9" s="71" t="s">
        <v>2555</v>
      </c>
      <c r="C9" s="3004" t="s">
        <v>3283</v>
      </c>
      <c r="D9" s="135">
        <v>100</v>
      </c>
      <c r="E9" s="3006" t="s">
        <v>3283</v>
      </c>
      <c r="F9" s="418">
        <f>SUMIF(63:63,E9,64:64)-SUMIF(63:63,C9,64:64)+100</f>
        <v>100</v>
      </c>
      <c r="G9" s="3006" t="s">
        <v>3283</v>
      </c>
      <c r="H9" s="135">
        <f>SUMIF(63:63,G9,64:64)-SUMIF(63:63,C9,64:64)+100</f>
        <v>100</v>
      </c>
      <c r="I9" s="3006" t="s">
        <v>3283</v>
      </c>
      <c r="J9" s="135">
        <f>SUMIF(63:63,I9,64:64)-SUMIF(63:63,C9,64:64)+100</f>
        <v>100</v>
      </c>
      <c r="K9" s="611"/>
      <c r="L9" s="1135"/>
      <c r="M9" s="1136"/>
      <c r="N9" s="1136"/>
      <c r="O9" s="1136"/>
      <c r="P9" s="3252" t="s">
        <v>2556</v>
      </c>
      <c r="Q9" s="1798" t="str">
        <f t="shared" ref="Q9:Q15" si="6">B9</f>
        <v>用途</v>
      </c>
      <c r="R9" s="770" t="s">
        <v>17</v>
      </c>
      <c r="S9" s="771">
        <f t="shared" si="0"/>
        <v>100</v>
      </c>
      <c r="T9" s="770" t="s">
        <v>17</v>
      </c>
      <c r="U9" s="771">
        <f t="shared" si="1"/>
        <v>100</v>
      </c>
      <c r="V9" s="770" t="s">
        <v>17</v>
      </c>
      <c r="W9" s="771">
        <f t="shared" si="2"/>
        <v>100</v>
      </c>
      <c r="X9" s="772"/>
      <c r="Y9" s="307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2"/>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52"/>
      <c r="Q11" s="1798" t="str">
        <f t="shared" si="6"/>
        <v>容积率</v>
      </c>
      <c r="R11" s="770" t="s">
        <v>17</v>
      </c>
      <c r="S11" s="771">
        <f t="shared" si="0"/>
        <v>100</v>
      </c>
      <c r="T11" s="770" t="s">
        <v>17</v>
      </c>
      <c r="U11" s="771">
        <f t="shared" si="1"/>
        <v>100</v>
      </c>
      <c r="V11" s="770" t="s">
        <v>17</v>
      </c>
      <c r="W11" s="771">
        <f t="shared" si="2"/>
        <v>100</v>
      </c>
      <c r="X11" s="772"/>
      <c r="Y11" s="3077"/>
      <c r="Z11" s="55" t="str">
        <f t="shared" si="7"/>
        <v>容积率</v>
      </c>
      <c r="AA11" s="773">
        <f t="shared" si="3"/>
        <v>1</v>
      </c>
      <c r="AB11" s="773">
        <f t="shared" si="4"/>
        <v>1</v>
      </c>
      <c r="AC11" s="773">
        <f t="shared" si="5"/>
        <v>1</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2"/>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2"/>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2"/>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71.25">
      <c r="A15" s="440" t="s">
        <v>2560</v>
      </c>
      <c r="B15" s="69" t="s">
        <v>2654</v>
      </c>
      <c r="C15" s="2609" t="str">
        <f>估价对象房地状况!C4</f>
        <v>估价对象位于XX商圈，周边商业氛围成熟，人流量大，商业繁华度好</v>
      </c>
      <c r="D15" s="441">
        <v>100</v>
      </c>
      <c r="E15" s="442"/>
      <c r="F15" s="443">
        <f>SUMIF(76:76,E16,77:77)-SUMIF(76:76,C16,77:77)+100</f>
        <v>101</v>
      </c>
      <c r="G15" s="444"/>
      <c r="H15" s="441">
        <f>SUMIF(76:76,G16,77:77)-SUMIF(76:76,C16,77:77)+100</f>
        <v>101</v>
      </c>
      <c r="I15" s="442"/>
      <c r="J15" s="441">
        <f>SUMIF(76:76,I16,77:77)-SUMIF(76:76,C16,77:77)+100</f>
        <v>101</v>
      </c>
      <c r="K15" s="614">
        <v>1</v>
      </c>
      <c r="L15" s="1143"/>
      <c r="M15" s="1134"/>
      <c r="N15" s="1134"/>
      <c r="O15" s="1134"/>
      <c r="P15" s="3292" t="s">
        <v>2561</v>
      </c>
      <c r="Q15" s="1813" t="str">
        <f t="shared" si="6"/>
        <v>商业繁华度</v>
      </c>
      <c r="R15" s="774" t="s">
        <v>17</v>
      </c>
      <c r="S15" s="775">
        <f t="shared" si="0"/>
        <v>101</v>
      </c>
      <c r="T15" s="774" t="s">
        <v>17</v>
      </c>
      <c r="U15" s="775">
        <f t="shared" si="1"/>
        <v>101</v>
      </c>
      <c r="V15" s="774" t="s">
        <v>17</v>
      </c>
      <c r="W15" s="775">
        <f t="shared" si="2"/>
        <v>101</v>
      </c>
      <c r="X15" s="1816"/>
      <c r="Y15" s="3255" t="s">
        <v>2561</v>
      </c>
      <c r="Z15" s="1817" t="str">
        <f t="shared" si="7"/>
        <v>商业繁华度</v>
      </c>
      <c r="AA15" s="1814">
        <f t="shared" si="3"/>
        <v>0.99009900990099009</v>
      </c>
      <c r="AB15" s="1814">
        <f t="shared" si="4"/>
        <v>0.99009900990099009</v>
      </c>
      <c r="AC15" s="1814">
        <f t="shared" si="5"/>
        <v>0.99009900990099009</v>
      </c>
    </row>
    <row r="16" spans="1:29" ht="15">
      <c r="A16" s="428"/>
      <c r="B16" s="446"/>
      <c r="C16" s="2989" t="s">
        <v>3304</v>
      </c>
      <c r="D16" s="448"/>
      <c r="E16" s="2989" t="s">
        <v>3290</v>
      </c>
      <c r="F16" s="449"/>
      <c r="G16" s="2989" t="s">
        <v>3290</v>
      </c>
      <c r="H16" s="450"/>
      <c r="I16" s="2989" t="s">
        <v>3290</v>
      </c>
      <c r="J16" s="448"/>
      <c r="K16" s="615"/>
      <c r="L16" s="1143"/>
      <c r="M16" s="1134"/>
      <c r="N16" s="1134"/>
      <c r="O16" s="1134"/>
      <c r="P16" s="3293"/>
      <c r="Q16" s="1813"/>
      <c r="R16" s="774"/>
      <c r="S16" s="775"/>
      <c r="T16" s="774"/>
      <c r="U16" s="775"/>
      <c r="V16" s="774"/>
      <c r="W16" s="775"/>
      <c r="X16" s="1816"/>
      <c r="Y16" s="3256"/>
      <c r="Z16" s="1817"/>
      <c r="AA16" s="1814">
        <v>1</v>
      </c>
      <c r="AB16" s="1814">
        <v>1</v>
      </c>
      <c r="AC16" s="1814">
        <v>1</v>
      </c>
    </row>
    <row r="17" spans="1:29" ht="85.5">
      <c r="A17" s="428"/>
      <c r="B17" s="451" t="s">
        <v>2097</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3"/>
      <c r="Q17" s="1813" t="str">
        <f>B17</f>
        <v>交通便捷度</v>
      </c>
      <c r="R17" s="774" t="s">
        <v>17</v>
      </c>
      <c r="S17" s="775">
        <f>F17</f>
        <v>100</v>
      </c>
      <c r="T17" s="774" t="s">
        <v>17</v>
      </c>
      <c r="U17" s="775">
        <f>H17</f>
        <v>100</v>
      </c>
      <c r="V17" s="774" t="s">
        <v>17</v>
      </c>
      <c r="W17" s="775">
        <f>J17</f>
        <v>100</v>
      </c>
      <c r="X17" s="1816"/>
      <c r="Y17" s="3256"/>
      <c r="Z17" s="1817" t="str">
        <f>Q17</f>
        <v>交通便捷度</v>
      </c>
      <c r="AA17" s="1814">
        <f t="shared" si="3"/>
        <v>1</v>
      </c>
      <c r="AB17" s="1814">
        <f t="shared" si="4"/>
        <v>1</v>
      </c>
      <c r="AC17" s="1814">
        <f t="shared" si="5"/>
        <v>1</v>
      </c>
    </row>
    <row r="18" spans="1:29" ht="15">
      <c r="A18" s="428"/>
      <c r="B18" s="456"/>
      <c r="C18" s="2992" t="s">
        <v>3290</v>
      </c>
      <c r="D18" s="450"/>
      <c r="E18" s="2993" t="s">
        <v>3290</v>
      </c>
      <c r="F18" s="453"/>
      <c r="G18" s="2994" t="s">
        <v>3291</v>
      </c>
      <c r="H18" s="448"/>
      <c r="I18" s="2993" t="s">
        <v>3290</v>
      </c>
      <c r="J18" s="448"/>
      <c r="K18" s="615"/>
      <c r="L18" s="1143"/>
      <c r="M18" s="1134"/>
      <c r="N18" s="1134"/>
      <c r="O18" s="1134"/>
      <c r="P18" s="3293"/>
      <c r="Q18" s="1813"/>
      <c r="R18" s="774"/>
      <c r="S18" s="775"/>
      <c r="T18" s="774"/>
      <c r="U18" s="775"/>
      <c r="V18" s="774"/>
      <c r="W18" s="775"/>
      <c r="X18" s="1816"/>
      <c r="Y18" s="3256"/>
      <c r="Z18" s="1817"/>
      <c r="AA18" s="1814">
        <v>1</v>
      </c>
      <c r="AB18" s="1814">
        <v>1</v>
      </c>
      <c r="AC18" s="1814">
        <v>1</v>
      </c>
    </row>
    <row r="19" spans="1:29" ht="42.75">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3"/>
      <c r="Q19" s="1813" t="str">
        <f>B19</f>
        <v>公共配套设施</v>
      </c>
      <c r="R19" s="774" t="s">
        <v>17</v>
      </c>
      <c r="S19" s="775">
        <f>F19</f>
        <v>100</v>
      </c>
      <c r="T19" s="774" t="s">
        <v>17</v>
      </c>
      <c r="U19" s="775">
        <f>H19</f>
        <v>100</v>
      </c>
      <c r="V19" s="774" t="s">
        <v>17</v>
      </c>
      <c r="W19" s="775">
        <f>J19</f>
        <v>100</v>
      </c>
      <c r="X19" s="1816"/>
      <c r="Y19" s="3256"/>
      <c r="Z19" s="1817" t="str">
        <f>Q19</f>
        <v>公共配套设施</v>
      </c>
      <c r="AA19" s="1814">
        <f t="shared" si="3"/>
        <v>1</v>
      </c>
      <c r="AB19" s="1814">
        <f t="shared" si="4"/>
        <v>1</v>
      </c>
      <c r="AC19" s="1814">
        <f t="shared" si="5"/>
        <v>1</v>
      </c>
    </row>
    <row r="20" spans="1:29" ht="15">
      <c r="A20" s="428"/>
      <c r="B20" s="456"/>
      <c r="C20" s="2989" t="s">
        <v>3290</v>
      </c>
      <c r="D20" s="448"/>
      <c r="E20" s="2990" t="s">
        <v>3290</v>
      </c>
      <c r="F20" s="449"/>
      <c r="G20" s="2991" t="s">
        <v>3291</v>
      </c>
      <c r="H20" s="448"/>
      <c r="I20" s="2990" t="s">
        <v>3290</v>
      </c>
      <c r="J20" s="448"/>
      <c r="K20" s="615"/>
      <c r="L20" s="1143"/>
      <c r="M20" s="1134"/>
      <c r="N20" s="1134"/>
      <c r="O20" s="1134"/>
      <c r="P20" s="3293"/>
      <c r="Q20" s="1813"/>
      <c r="R20" s="774"/>
      <c r="S20" s="775"/>
      <c r="T20" s="774"/>
      <c r="U20" s="775"/>
      <c r="V20" s="774"/>
      <c r="W20" s="775"/>
      <c r="X20" s="1816"/>
      <c r="Y20" s="3256"/>
      <c r="Z20" s="1817"/>
      <c r="AA20" s="1814">
        <v>1</v>
      </c>
      <c r="AB20" s="1814">
        <v>1</v>
      </c>
      <c r="AC20" s="1814">
        <v>1</v>
      </c>
    </row>
    <row r="21" spans="1:29" ht="28.5">
      <c r="A21" s="428"/>
      <c r="B21" s="1387"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3"/>
      <c r="Q21" s="1813" t="str">
        <f>B21</f>
        <v>基础设施水平</v>
      </c>
      <c r="R21" s="774" t="s">
        <v>17</v>
      </c>
      <c r="S21" s="775">
        <f>F21</f>
        <v>100</v>
      </c>
      <c r="T21" s="774" t="s">
        <v>17</v>
      </c>
      <c r="U21" s="775">
        <f>H21</f>
        <v>100</v>
      </c>
      <c r="V21" s="774" t="s">
        <v>17</v>
      </c>
      <c r="W21" s="775">
        <f>J21</f>
        <v>100</v>
      </c>
      <c r="X21" s="1816"/>
      <c r="Y21" s="3256"/>
      <c r="Z21" s="1817" t="str">
        <f>Q21</f>
        <v>基础设施水平</v>
      </c>
      <c r="AA21" s="1814">
        <f t="shared" ref="AA21" si="8">D21/F21</f>
        <v>1</v>
      </c>
      <c r="AB21" s="1814">
        <f t="shared" ref="AB21" si="9">D21/H21</f>
        <v>1</v>
      </c>
      <c r="AC21" s="1814">
        <f t="shared" ref="AC21" si="10">D21/J21</f>
        <v>1</v>
      </c>
    </row>
    <row r="22" spans="1:29" ht="15">
      <c r="A22" s="428"/>
      <c r="B22" s="1387"/>
      <c r="C22" s="2992" t="s">
        <v>3292</v>
      </c>
      <c r="D22" s="448"/>
      <c r="E22" s="2989" t="s">
        <v>3293</v>
      </c>
      <c r="F22" s="449"/>
      <c r="G22" s="2989" t="s">
        <v>3292</v>
      </c>
      <c r="H22" s="448"/>
      <c r="I22" s="2989" t="s">
        <v>3292</v>
      </c>
      <c r="J22" s="448"/>
      <c r="K22" s="1386"/>
      <c r="L22" s="1143"/>
      <c r="M22" s="1134"/>
      <c r="N22" s="1134"/>
      <c r="O22" s="1134"/>
      <c r="P22" s="3293"/>
      <c r="Q22" s="1813"/>
      <c r="R22" s="774"/>
      <c r="S22" s="775"/>
      <c r="T22" s="774"/>
      <c r="U22" s="775"/>
      <c r="V22" s="774"/>
      <c r="W22" s="775"/>
      <c r="X22" s="1816"/>
      <c r="Y22" s="3256"/>
      <c r="Z22" s="1817"/>
      <c r="AA22" s="1814">
        <v>1</v>
      </c>
      <c r="AB22" s="1814">
        <v>1</v>
      </c>
      <c r="AC22" s="1814">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3"/>
      <c r="Q23" s="1813" t="str">
        <f>B23</f>
        <v>自然及人文环境</v>
      </c>
      <c r="R23" s="774" t="s">
        <v>17</v>
      </c>
      <c r="S23" s="775">
        <f>F23</f>
        <v>100</v>
      </c>
      <c r="T23" s="774" t="s">
        <v>17</v>
      </c>
      <c r="U23" s="775">
        <f>H23</f>
        <v>100</v>
      </c>
      <c r="V23" s="774" t="s">
        <v>17</v>
      </c>
      <c r="W23" s="775">
        <f>J23</f>
        <v>100</v>
      </c>
      <c r="X23" s="1816"/>
      <c r="Y23" s="3256"/>
      <c r="Z23" s="1817" t="str">
        <f>Q23</f>
        <v>自然及人文环境</v>
      </c>
      <c r="AA23" s="1814">
        <f t="shared" si="3"/>
        <v>1</v>
      </c>
      <c r="AB23" s="1814">
        <f t="shared" si="4"/>
        <v>1</v>
      </c>
      <c r="AC23" s="1814">
        <f t="shared" si="5"/>
        <v>1</v>
      </c>
    </row>
    <row r="24" spans="1:29" ht="15">
      <c r="A24" s="428"/>
      <c r="B24" s="456"/>
      <c r="C24" s="2989" t="s">
        <v>3290</v>
      </c>
      <c r="D24" s="448"/>
      <c r="E24" s="2990" t="s">
        <v>3290</v>
      </c>
      <c r="F24" s="449"/>
      <c r="G24" s="2991" t="s">
        <v>3290</v>
      </c>
      <c r="H24" s="448"/>
      <c r="I24" s="2990" t="s">
        <v>3290</v>
      </c>
      <c r="J24" s="448"/>
      <c r="K24" s="615"/>
      <c r="L24" s="1143"/>
      <c r="M24" s="1134"/>
      <c r="N24" s="1134"/>
      <c r="O24" s="1134"/>
      <c r="P24" s="3293"/>
      <c r="Q24" s="1813"/>
      <c r="R24" s="774"/>
      <c r="S24" s="775"/>
      <c r="T24" s="774"/>
      <c r="U24" s="775"/>
      <c r="V24" s="774"/>
      <c r="W24" s="775"/>
      <c r="X24" s="1816"/>
      <c r="Y24" s="3256"/>
      <c r="Z24" s="1817"/>
      <c r="AA24" s="1814">
        <v>1</v>
      </c>
      <c r="AB24" s="1814">
        <v>1</v>
      </c>
      <c r="AC24" s="1814">
        <v>1</v>
      </c>
    </row>
    <row r="25" spans="1:29" ht="15">
      <c r="A25" s="428"/>
      <c r="B25" s="3027" t="s">
        <v>2657</v>
      </c>
      <c r="C25" s="2995" t="s">
        <v>3313</v>
      </c>
      <c r="D25" s="435">
        <v>100</v>
      </c>
      <c r="E25" s="2995" t="s">
        <v>3314</v>
      </c>
      <c r="F25" s="461">
        <f>SUMIF(86:86,E25,87:87)-SUMIF(86:86,C25,87:87)+100</f>
        <v>92</v>
      </c>
      <c r="G25" s="2995" t="s">
        <v>3314</v>
      </c>
      <c r="H25" s="435">
        <f>SUMIF(86:86,G25,87:87)-SUMIF(86:86,C25,87:87)+100</f>
        <v>92</v>
      </c>
      <c r="I25" s="2995" t="s">
        <v>3315</v>
      </c>
      <c r="J25" s="435">
        <f>SUMIF(86:86,I25,87:87)-SUMIF(86:86,C25,87:87)+100</f>
        <v>92</v>
      </c>
      <c r="K25" s="612">
        <v>4</v>
      </c>
      <c r="L25" s="1143"/>
      <c r="M25" s="1134"/>
      <c r="N25" s="1134"/>
      <c r="O25" s="1134"/>
      <c r="P25" s="3293"/>
      <c r="Q25" s="1813" t="str">
        <f t="shared" ref="Q25:Q46" si="11">B25</f>
        <v>临街状况</v>
      </c>
      <c r="R25" s="774" t="s">
        <v>17</v>
      </c>
      <c r="S25" s="775">
        <f>F25</f>
        <v>92</v>
      </c>
      <c r="T25" s="774" t="s">
        <v>17</v>
      </c>
      <c r="U25" s="775">
        <f>H25</f>
        <v>92</v>
      </c>
      <c r="V25" s="774" t="s">
        <v>17</v>
      </c>
      <c r="W25" s="775">
        <f>J25</f>
        <v>92</v>
      </c>
      <c r="X25" s="1816"/>
      <c r="Y25" s="3256"/>
      <c r="Z25" s="1817" t="str">
        <f>Q25</f>
        <v>临街状况</v>
      </c>
      <c r="AA25" s="1814">
        <f t="shared" si="3"/>
        <v>1.0869565217391304</v>
      </c>
      <c r="AB25" s="1814">
        <f t="shared" si="4"/>
        <v>1.0869565217391304</v>
      </c>
      <c r="AC25" s="1814">
        <f t="shared" si="5"/>
        <v>1.0869565217391304</v>
      </c>
    </row>
    <row r="26" spans="1:29" ht="15">
      <c r="A26" s="428"/>
      <c r="B26" s="3026" t="s">
        <v>2658</v>
      </c>
      <c r="C26" s="3028" t="s">
        <v>3318</v>
      </c>
      <c r="D26" s="435">
        <v>100</v>
      </c>
      <c r="E26" s="3028" t="s">
        <v>3318</v>
      </c>
      <c r="F26" s="461">
        <f>SUMIF(88:88,E26,89:89)-SUMIF(88:88,C26,89:89)+100</f>
        <v>100</v>
      </c>
      <c r="G26" s="3028" t="s">
        <v>3318</v>
      </c>
      <c r="H26" s="435">
        <f>SUMIF(88:88,G26,89:89)-SUMIF(88:88,C26,89:89)+100</f>
        <v>100</v>
      </c>
      <c r="I26" s="3028" t="s">
        <v>3318</v>
      </c>
      <c r="J26" s="435">
        <f>SUMIF(88:88,I26,89:89)-SUMIF(88:88,C26,89:89)+100</f>
        <v>100</v>
      </c>
      <c r="K26" s="613"/>
      <c r="L26" s="1143"/>
      <c r="M26" s="1134"/>
      <c r="N26" s="1134"/>
      <c r="O26" s="1134"/>
      <c r="P26" s="3293"/>
      <c r="Q26" s="1813" t="str">
        <f t="shared" si="11"/>
        <v>平面位置/可视性</v>
      </c>
      <c r="R26" s="774" t="s">
        <v>17</v>
      </c>
      <c r="S26" s="775">
        <f>F26</f>
        <v>100</v>
      </c>
      <c r="T26" s="774" t="s">
        <v>17</v>
      </c>
      <c r="U26" s="775">
        <f>H26</f>
        <v>100</v>
      </c>
      <c r="V26" s="774" t="s">
        <v>17</v>
      </c>
      <c r="W26" s="775">
        <f>J26</f>
        <v>100</v>
      </c>
      <c r="X26" s="1816"/>
      <c r="Y26" s="3256"/>
      <c r="Z26" s="1817" t="str">
        <f>Q26</f>
        <v>平面位置/可视性</v>
      </c>
      <c r="AA26" s="1814">
        <f t="shared" si="3"/>
        <v>1</v>
      </c>
      <c r="AB26" s="1814">
        <f t="shared" si="4"/>
        <v>1</v>
      </c>
      <c r="AC26" s="1814">
        <f t="shared" si="5"/>
        <v>1</v>
      </c>
    </row>
    <row r="27" spans="1:29" s="117" customFormat="1" ht="15">
      <c r="A27" s="431"/>
      <c r="B27" s="451" t="s">
        <v>2659</v>
      </c>
      <c r="C27" s="3023" t="s">
        <v>3305</v>
      </c>
      <c r="D27" s="462">
        <v>100</v>
      </c>
      <c r="E27" s="3023" t="s">
        <v>3306</v>
      </c>
      <c r="F27" s="464">
        <f>SUMIF(90:90,E27,91:91)-SUMIF(90:90,C27,91:91)+100</f>
        <v>101</v>
      </c>
      <c r="G27" s="3023" t="s">
        <v>3306</v>
      </c>
      <c r="H27" s="462">
        <f>SUMIF(90:90,G27,91:91)-SUMIF(90:90,C27,91:91)+100</f>
        <v>101</v>
      </c>
      <c r="I27" s="3023" t="s">
        <v>3306</v>
      </c>
      <c r="J27" s="462">
        <f>SUMIF(90:90,I27,91:91)-SUMIF(90:90,C27,91:91)+100</f>
        <v>101</v>
      </c>
      <c r="K27" s="612">
        <v>1</v>
      </c>
      <c r="L27" s="1135"/>
      <c r="M27" s="1136"/>
      <c r="N27" s="1136"/>
      <c r="O27" s="1136"/>
      <c r="P27" s="3293"/>
      <c r="Q27" s="1798" t="str">
        <f t="shared" si="11"/>
        <v>人流量</v>
      </c>
      <c r="R27" s="770" t="s">
        <v>17</v>
      </c>
      <c r="S27" s="771">
        <f>F27</f>
        <v>101</v>
      </c>
      <c r="T27" s="770" t="s">
        <v>17</v>
      </c>
      <c r="U27" s="771">
        <f>H27</f>
        <v>101</v>
      </c>
      <c r="V27" s="770" t="s">
        <v>17</v>
      </c>
      <c r="W27" s="771">
        <f>J27</f>
        <v>101</v>
      </c>
      <c r="X27" s="772"/>
      <c r="Y27" s="3256"/>
      <c r="Z27" s="55" t="str">
        <f>Q27</f>
        <v>人流量</v>
      </c>
      <c r="AA27" s="1814">
        <f>D27/F27</f>
        <v>0.99009900990099009</v>
      </c>
      <c r="AB27" s="1814">
        <f>D27/H27</f>
        <v>0.99009900990099009</v>
      </c>
      <c r="AC27" s="1814">
        <f>D27/J27</f>
        <v>0.99009900990099009</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29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5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3"/>
      <c r="Q29" s="1813">
        <f t="shared" si="11"/>
        <v>111</v>
      </c>
      <c r="R29" s="774" t="s">
        <v>17</v>
      </c>
      <c r="S29" s="775">
        <f t="shared" si="12"/>
        <v>100</v>
      </c>
      <c r="T29" s="774" t="s">
        <v>17</v>
      </c>
      <c r="U29" s="775">
        <f t="shared" si="13"/>
        <v>100</v>
      </c>
      <c r="V29" s="774" t="s">
        <v>17</v>
      </c>
      <c r="W29" s="775">
        <f t="shared" si="14"/>
        <v>100</v>
      </c>
      <c r="X29" s="1816"/>
      <c r="Y29" s="325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3"/>
      <c r="Q30" s="1813">
        <f t="shared" si="11"/>
        <v>111</v>
      </c>
      <c r="R30" s="774" t="s">
        <v>17</v>
      </c>
      <c r="S30" s="775">
        <f t="shared" si="12"/>
        <v>100</v>
      </c>
      <c r="T30" s="774" t="s">
        <v>17</v>
      </c>
      <c r="U30" s="775">
        <f t="shared" si="13"/>
        <v>100</v>
      </c>
      <c r="V30" s="774" t="s">
        <v>17</v>
      </c>
      <c r="W30" s="775">
        <f t="shared" si="14"/>
        <v>100</v>
      </c>
      <c r="X30" s="1816"/>
      <c r="Y30" s="325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3"/>
      <c r="Q31" s="1813">
        <f t="shared" si="11"/>
        <v>111</v>
      </c>
      <c r="R31" s="774" t="s">
        <v>17</v>
      </c>
      <c r="S31" s="775">
        <f t="shared" si="12"/>
        <v>100</v>
      </c>
      <c r="T31" s="774" t="s">
        <v>17</v>
      </c>
      <c r="U31" s="775">
        <f t="shared" si="13"/>
        <v>100</v>
      </c>
      <c r="V31" s="774" t="s">
        <v>17</v>
      </c>
      <c r="W31" s="775">
        <f t="shared" si="14"/>
        <v>100</v>
      </c>
      <c r="X31" s="1816"/>
      <c r="Y31" s="3256"/>
      <c r="Z31" s="1817">
        <f t="shared" si="15"/>
        <v>111</v>
      </c>
      <c r="AA31" s="1814">
        <f t="shared" si="3"/>
        <v>1</v>
      </c>
      <c r="AB31" s="1814">
        <f t="shared" si="4"/>
        <v>1</v>
      </c>
      <c r="AC31" s="1814">
        <f t="shared" si="5"/>
        <v>1</v>
      </c>
    </row>
    <row r="32" spans="1:29" ht="15">
      <c r="A32" s="440" t="s">
        <v>2564</v>
      </c>
      <c r="B32" s="71" t="s">
        <v>2661</v>
      </c>
      <c r="C32" s="3019" t="s">
        <v>3284</v>
      </c>
      <c r="D32" s="467">
        <v>100</v>
      </c>
      <c r="E32" s="3019" t="s">
        <v>3285</v>
      </c>
      <c r="F32" s="461">
        <f>SUMIF(100:100,E32,101:101)-SUMIF(100:100,C32,101:101)+100</f>
        <v>96</v>
      </c>
      <c r="G32" s="3019" t="s">
        <v>3303</v>
      </c>
      <c r="H32" s="435">
        <f>SUMIF(100:100,G32,101:101)-SUMIF(100:100,C32,101:101)+100</f>
        <v>96</v>
      </c>
      <c r="I32" s="3019" t="s">
        <v>3286</v>
      </c>
      <c r="J32" s="467">
        <f>SUMIF(100:100,I32,101:101)-SUMIF(100:100,C32,101:101)+100</f>
        <v>96</v>
      </c>
      <c r="K32" s="612">
        <v>2</v>
      </c>
      <c r="L32" s="1143"/>
      <c r="M32" s="1134"/>
      <c r="N32" s="1134"/>
      <c r="O32" s="1134"/>
      <c r="P32" s="3294" t="s">
        <v>2566</v>
      </c>
      <c r="Q32" s="1813" t="str">
        <f t="shared" si="11"/>
        <v>商业类型</v>
      </c>
      <c r="R32" s="774" t="s">
        <v>17</v>
      </c>
      <c r="S32" s="775">
        <f t="shared" si="12"/>
        <v>96</v>
      </c>
      <c r="T32" s="774" t="s">
        <v>17</v>
      </c>
      <c r="U32" s="775">
        <f t="shared" si="13"/>
        <v>96</v>
      </c>
      <c r="V32" s="774" t="s">
        <v>17</v>
      </c>
      <c r="W32" s="775">
        <f t="shared" si="14"/>
        <v>96</v>
      </c>
      <c r="X32" s="1816"/>
      <c r="Y32" s="3258" t="s">
        <v>2566</v>
      </c>
      <c r="Z32" s="1817" t="str">
        <f t="shared" si="15"/>
        <v>商业类型</v>
      </c>
      <c r="AA32" s="1814">
        <f t="shared" si="3"/>
        <v>1.0416666666666667</v>
      </c>
      <c r="AB32" s="1814">
        <f t="shared" si="4"/>
        <v>1.0416666666666667</v>
      </c>
      <c r="AC32" s="1814">
        <f t="shared" si="5"/>
        <v>1.0416666666666667</v>
      </c>
    </row>
    <row r="33" spans="1:29" s="471" customFormat="1" ht="15">
      <c r="A33" s="468"/>
      <c r="B33" s="422" t="s">
        <v>2567</v>
      </c>
      <c r="C33" s="469">
        <f>典型户型修正!B24</f>
        <v>7862.2099999999991</v>
      </c>
      <c r="D33" s="136">
        <v>100</v>
      </c>
      <c r="E33" s="430">
        <v>93</v>
      </c>
      <c r="F33" s="425">
        <f>LOOKUP(E33,103:103,104:104)-LOOKUP(C33,103:103,104:104)+100</f>
        <v>105</v>
      </c>
      <c r="G33" s="429">
        <v>72</v>
      </c>
      <c r="H33" s="136">
        <f>LOOKUP(G33,103:103,104:104)-LOOKUP(C33,103:103,104:104)+100</f>
        <v>105</v>
      </c>
      <c r="I33" s="429">
        <v>81</v>
      </c>
      <c r="J33" s="136">
        <f>LOOKUP(I33,103:103,104:104)-LOOKUP(C33,103:103,104:104)+100</f>
        <v>105</v>
      </c>
      <c r="K33" s="613"/>
      <c r="L33" s="1141"/>
      <c r="M33" s="1144"/>
      <c r="N33" s="1144"/>
      <c r="O33" s="1144"/>
      <c r="P33" s="3295"/>
      <c r="Q33" s="776" t="str">
        <f t="shared" si="11"/>
        <v>项目建筑规模</v>
      </c>
      <c r="R33" s="777" t="s">
        <v>17</v>
      </c>
      <c r="S33" s="778">
        <f t="shared" si="12"/>
        <v>105</v>
      </c>
      <c r="T33" s="777" t="s">
        <v>17</v>
      </c>
      <c r="U33" s="778">
        <f t="shared" si="13"/>
        <v>105</v>
      </c>
      <c r="V33" s="777" t="s">
        <v>17</v>
      </c>
      <c r="W33" s="778">
        <f t="shared" si="14"/>
        <v>105</v>
      </c>
      <c r="X33" s="779"/>
      <c r="Y33" s="3258"/>
      <c r="Z33" s="780" t="str">
        <f t="shared" si="15"/>
        <v>项目建筑规模</v>
      </c>
      <c r="AA33" s="1814">
        <f t="shared" si="3"/>
        <v>0.95238095238095233</v>
      </c>
      <c r="AB33" s="1814">
        <f t="shared" si="4"/>
        <v>0.95238095238095233</v>
      </c>
      <c r="AC33" s="1814">
        <f t="shared" si="5"/>
        <v>0.95238095238095233</v>
      </c>
    </row>
    <row r="34" spans="1:29" ht="15">
      <c r="A34" s="472"/>
      <c r="B34" s="422" t="s">
        <v>2568</v>
      </c>
      <c r="C34" s="3032" t="s">
        <v>3321</v>
      </c>
      <c r="D34" s="435">
        <v>100</v>
      </c>
      <c r="E34" s="3032" t="s">
        <v>3321</v>
      </c>
      <c r="F34" s="461">
        <f>SUMIF(105:105,E34,106:106)-SUMIF(105:105,C34,106:106)+100</f>
        <v>100</v>
      </c>
      <c r="G34" s="3032" t="s">
        <v>3321</v>
      </c>
      <c r="H34" s="435">
        <f>SUMIF(105:105,G34,106:106)-SUMIF(105:105,C34,106:106)+100</f>
        <v>100</v>
      </c>
      <c r="I34" s="3032" t="s">
        <v>3321</v>
      </c>
      <c r="J34" s="435">
        <f>SUMIF(105:105,I34,106:106)-SUMIF(105:105,C34,106:106)+100</f>
        <v>100</v>
      </c>
      <c r="K34" s="612"/>
      <c r="L34" s="1143"/>
      <c r="M34" s="1134"/>
      <c r="N34" s="1134"/>
      <c r="O34" s="1134"/>
      <c r="P34" s="3295"/>
      <c r="Q34" s="1813" t="str">
        <f t="shared" si="11"/>
        <v>建筑结构</v>
      </c>
      <c r="R34" s="774" t="s">
        <v>17</v>
      </c>
      <c r="S34" s="775">
        <f t="shared" si="12"/>
        <v>100</v>
      </c>
      <c r="T34" s="774" t="s">
        <v>17</v>
      </c>
      <c r="U34" s="775">
        <f t="shared" si="13"/>
        <v>100</v>
      </c>
      <c r="V34" s="774" t="s">
        <v>17</v>
      </c>
      <c r="W34" s="775">
        <f t="shared" si="14"/>
        <v>100</v>
      </c>
      <c r="X34" s="1816"/>
      <c r="Y34" s="3258"/>
      <c r="Z34" s="1817" t="str">
        <f t="shared" si="15"/>
        <v>建筑结构</v>
      </c>
      <c r="AA34" s="1814">
        <f t="shared" si="3"/>
        <v>1</v>
      </c>
      <c r="AB34" s="1814">
        <f t="shared" si="4"/>
        <v>1</v>
      </c>
      <c r="AC34" s="1814">
        <f t="shared" si="5"/>
        <v>1</v>
      </c>
    </row>
    <row r="35" spans="1:29" ht="15">
      <c r="A35" s="472"/>
      <c r="B35" s="422" t="s">
        <v>2662</v>
      </c>
      <c r="C35" s="2999" t="s">
        <v>3322</v>
      </c>
      <c r="D35" s="435">
        <v>100</v>
      </c>
      <c r="E35" s="2999" t="s">
        <v>3322</v>
      </c>
      <c r="F35" s="461">
        <f>SUMIF(107:107,E35,108:108)-SUMIF(107:107,C35,108:108)+100</f>
        <v>100</v>
      </c>
      <c r="G35" s="2999" t="s">
        <v>3322</v>
      </c>
      <c r="H35" s="435">
        <f>SUMIF(107:107,G35,108:108)-SUMIF(107:107,C35,108:108)+100</f>
        <v>100</v>
      </c>
      <c r="I35" s="2999" t="s">
        <v>3322</v>
      </c>
      <c r="J35" s="435">
        <f>SUMIF(107:107,I35,108:108)-SUMIF(107:107,C35,108:108)+100</f>
        <v>100</v>
      </c>
      <c r="K35" s="612"/>
      <c r="L35" s="1143"/>
      <c r="M35" s="1134"/>
      <c r="N35" s="1134"/>
      <c r="O35" s="1134"/>
      <c r="P35" s="3295"/>
      <c r="Q35" s="1813" t="str">
        <f t="shared" si="11"/>
        <v>公共部分装修</v>
      </c>
      <c r="R35" s="774" t="s">
        <v>17</v>
      </c>
      <c r="S35" s="775">
        <f t="shared" si="12"/>
        <v>100</v>
      </c>
      <c r="T35" s="774" t="s">
        <v>17</v>
      </c>
      <c r="U35" s="775">
        <f t="shared" si="13"/>
        <v>100</v>
      </c>
      <c r="V35" s="774" t="s">
        <v>17</v>
      </c>
      <c r="W35" s="775">
        <f t="shared" si="14"/>
        <v>100</v>
      </c>
      <c r="X35" s="1816"/>
      <c r="Y35" s="3258"/>
      <c r="Z35" s="1817" t="str">
        <f t="shared" si="15"/>
        <v>公共部分装修</v>
      </c>
      <c r="AA35" s="1814">
        <f t="shared" si="3"/>
        <v>1</v>
      </c>
      <c r="AB35" s="1814">
        <f t="shared" si="4"/>
        <v>1</v>
      </c>
      <c r="AC35" s="1814">
        <f t="shared" si="5"/>
        <v>1</v>
      </c>
    </row>
    <row r="36" spans="1:29" ht="15">
      <c r="A36" s="472"/>
      <c r="B36" s="422" t="s">
        <v>2663</v>
      </c>
      <c r="C36" s="474">
        <f>'数据-取费表'!N6</f>
        <v>0.88</v>
      </c>
      <c r="D36" s="435">
        <v>100</v>
      </c>
      <c r="E36" s="474">
        <v>0.9</v>
      </c>
      <c r="F36" s="461">
        <f>LOOKUP(E36,110:110,111:111)-LOOKUP(C36,110:110,111:111)+100</f>
        <v>101</v>
      </c>
      <c r="G36" s="474">
        <v>0.9</v>
      </c>
      <c r="H36" s="461">
        <f>LOOKUP(G36,110:110,111:111)-LOOKUP(C36,110:110,111:111)+100</f>
        <v>101</v>
      </c>
      <c r="I36" s="474">
        <v>0.95</v>
      </c>
      <c r="J36" s="435">
        <f>LOOKUP(I36,110:110,111:111)-LOOKUP(C36,110:110,111:111)+100</f>
        <v>101</v>
      </c>
      <c r="K36" s="612">
        <v>1</v>
      </c>
      <c r="L36" s="1143"/>
      <c r="M36" s="1134"/>
      <c r="N36" s="1134"/>
      <c r="O36" s="1134"/>
      <c r="P36" s="3295"/>
      <c r="Q36" s="1813" t="str">
        <f t="shared" si="11"/>
        <v>成新度</v>
      </c>
      <c r="R36" s="774" t="s">
        <v>17</v>
      </c>
      <c r="S36" s="775">
        <f t="shared" si="12"/>
        <v>101</v>
      </c>
      <c r="T36" s="774" t="s">
        <v>17</v>
      </c>
      <c r="U36" s="775">
        <f t="shared" si="13"/>
        <v>101</v>
      </c>
      <c r="V36" s="774" t="s">
        <v>17</v>
      </c>
      <c r="W36" s="775">
        <f t="shared" si="14"/>
        <v>101</v>
      </c>
      <c r="X36" s="1816"/>
      <c r="Y36" s="3258"/>
      <c r="Z36" s="1817" t="str">
        <f t="shared" si="15"/>
        <v>成新度</v>
      </c>
      <c r="AA36" s="1814">
        <f t="shared" si="3"/>
        <v>0.99009900990099009</v>
      </c>
      <c r="AB36" s="1814">
        <f t="shared" si="4"/>
        <v>0.99009900990099009</v>
      </c>
      <c r="AC36" s="1814">
        <f t="shared" si="5"/>
        <v>0.99009900990099009</v>
      </c>
    </row>
    <row r="37" spans="1:29" s="117" customFormat="1" ht="15">
      <c r="A37" s="473"/>
      <c r="B37" s="422" t="s">
        <v>2664</v>
      </c>
      <c r="C37" s="2999" t="s">
        <v>3323</v>
      </c>
      <c r="D37" s="136">
        <v>100</v>
      </c>
      <c r="E37" s="2999" t="s">
        <v>3324</v>
      </c>
      <c r="F37" s="461">
        <f>SUMIF(112:112,E37,113:113)-SUMIF(112:112,C37,113:113)+100</f>
        <v>100</v>
      </c>
      <c r="G37" s="2999" t="s">
        <v>3324</v>
      </c>
      <c r="H37" s="435">
        <f>SUMIF(112:112,G37,113:113)-SUMIF(112:112,C37,113:113)+100</f>
        <v>100</v>
      </c>
      <c r="I37" s="2999" t="s">
        <v>3324</v>
      </c>
      <c r="J37" s="435">
        <f>SUMIF(112:112,I37,113:113)-SUMIF(112:112,C37,113:113)+100</f>
        <v>100</v>
      </c>
      <c r="K37" s="612"/>
      <c r="L37" s="1135"/>
      <c r="M37" s="1136"/>
      <c r="N37" s="1136"/>
      <c r="O37" s="1136"/>
      <c r="P37" s="3295"/>
      <c r="Q37" s="1798" t="str">
        <f t="shared" si="11"/>
        <v>市政基础设施</v>
      </c>
      <c r="R37" s="770" t="s">
        <v>17</v>
      </c>
      <c r="S37" s="771">
        <f t="shared" si="12"/>
        <v>100</v>
      </c>
      <c r="T37" s="770" t="s">
        <v>17</v>
      </c>
      <c r="U37" s="771">
        <f t="shared" si="13"/>
        <v>100</v>
      </c>
      <c r="V37" s="770" t="s">
        <v>17</v>
      </c>
      <c r="W37" s="771">
        <f t="shared" si="14"/>
        <v>100</v>
      </c>
      <c r="X37" s="772"/>
      <c r="Y37" s="3258"/>
      <c r="Z37" s="55" t="str">
        <f t="shared" si="15"/>
        <v>市政基础设施</v>
      </c>
      <c r="AA37" s="773">
        <f t="shared" si="3"/>
        <v>1</v>
      </c>
      <c r="AB37" s="773">
        <f t="shared" si="4"/>
        <v>1</v>
      </c>
      <c r="AC37" s="773">
        <f t="shared" si="5"/>
        <v>1</v>
      </c>
    </row>
    <row r="38" spans="1:29" ht="15">
      <c r="A38" s="472"/>
      <c r="B38" s="422" t="s">
        <v>2665</v>
      </c>
      <c r="C38" s="2999" t="s">
        <v>3325</v>
      </c>
      <c r="D38" s="435">
        <v>100</v>
      </c>
      <c r="E38" s="2999" t="s">
        <v>3326</v>
      </c>
      <c r="F38" s="461">
        <f>SUMIF(114:114,E38,115:115)-SUMIF(114:114,C38,115:115)+100</f>
        <v>100</v>
      </c>
      <c r="G38" s="2999" t="s">
        <v>3326</v>
      </c>
      <c r="H38" s="435">
        <f>SUMIF(114:114,G38,115:115)-SUMIF(114:114,C38,115:115)+100</f>
        <v>100</v>
      </c>
      <c r="I38" s="2999" t="s">
        <v>3326</v>
      </c>
      <c r="J38" s="435">
        <f>SUMIF(114:114,I38,115:115)-SUMIF(114:114,C38,115:115)+100</f>
        <v>100</v>
      </c>
      <c r="K38" s="612"/>
      <c r="L38" s="1143"/>
      <c r="M38" s="1134"/>
      <c r="N38" s="1134"/>
      <c r="O38" s="1134"/>
      <c r="P38" s="3295" t="s">
        <v>2566</v>
      </c>
      <c r="Q38" s="1813" t="str">
        <f t="shared" si="11"/>
        <v>业态</v>
      </c>
      <c r="R38" s="774" t="s">
        <v>17</v>
      </c>
      <c r="S38" s="775">
        <f t="shared" si="12"/>
        <v>100</v>
      </c>
      <c r="T38" s="774" t="s">
        <v>17</v>
      </c>
      <c r="U38" s="775">
        <f t="shared" si="13"/>
        <v>100</v>
      </c>
      <c r="V38" s="774" t="s">
        <v>17</v>
      </c>
      <c r="W38" s="775">
        <f t="shared" si="14"/>
        <v>100</v>
      </c>
      <c r="X38" s="1816"/>
      <c r="Y38" s="3258" t="s">
        <v>2566</v>
      </c>
      <c r="Z38" s="1817" t="str">
        <f t="shared" si="15"/>
        <v>业态</v>
      </c>
      <c r="AA38" s="1814">
        <f t="shared" si="3"/>
        <v>1</v>
      </c>
      <c r="AB38" s="1814">
        <f t="shared" si="4"/>
        <v>1</v>
      </c>
      <c r="AC38" s="1814">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95"/>
      <c r="Q39" s="1813" t="str">
        <f t="shared" si="11"/>
        <v>层高</v>
      </c>
      <c r="R39" s="774" t="s">
        <v>17</v>
      </c>
      <c r="S39" s="775">
        <f t="shared" si="12"/>
        <v>100</v>
      </c>
      <c r="T39" s="774" t="s">
        <v>17</v>
      </c>
      <c r="U39" s="775">
        <f t="shared" si="13"/>
        <v>100</v>
      </c>
      <c r="V39" s="774" t="s">
        <v>17</v>
      </c>
      <c r="W39" s="775">
        <f t="shared" si="14"/>
        <v>100</v>
      </c>
      <c r="X39" s="1816"/>
      <c r="Y39" s="325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5"/>
      <c r="Q40" s="1813" t="str">
        <f t="shared" si="11"/>
        <v>单套建筑面积</v>
      </c>
      <c r="R40" s="774" t="s">
        <v>17</v>
      </c>
      <c r="S40" s="775">
        <f t="shared" si="12"/>
        <v>100</v>
      </c>
      <c r="T40" s="774" t="s">
        <v>17</v>
      </c>
      <c r="U40" s="775">
        <f t="shared" si="13"/>
        <v>100</v>
      </c>
      <c r="V40" s="774" t="s">
        <v>17</v>
      </c>
      <c r="W40" s="775">
        <f t="shared" si="14"/>
        <v>100</v>
      </c>
      <c r="X40" s="1816"/>
      <c r="Y40" s="3258"/>
      <c r="Z40" s="1817" t="str">
        <f t="shared" si="15"/>
        <v>单套建筑面积</v>
      </c>
      <c r="AA40" s="1814">
        <f t="shared" si="3"/>
        <v>1</v>
      </c>
      <c r="AB40" s="1814">
        <f t="shared" si="4"/>
        <v>1</v>
      </c>
      <c r="AC40" s="1814">
        <f t="shared" si="5"/>
        <v>1</v>
      </c>
    </row>
    <row r="41" spans="1:29" s="471" customFormat="1" ht="15">
      <c r="A41" s="468"/>
      <c r="B41" s="1815" t="s">
        <v>2668</v>
      </c>
      <c r="C41" s="2995" t="s">
        <v>3328</v>
      </c>
      <c r="D41" s="435">
        <v>100</v>
      </c>
      <c r="E41" s="2995" t="s">
        <v>3328</v>
      </c>
      <c r="F41" s="461">
        <f>SUMIF(120:120,E41,121:121)-SUMIF(120:120,C41,121:121)+100</f>
        <v>100</v>
      </c>
      <c r="G41" s="2995" t="s">
        <v>3328</v>
      </c>
      <c r="H41" s="435">
        <f>SUMIF(120:120,G41,121:121)-SUMIF(120:120,C41,121:121)+100</f>
        <v>100</v>
      </c>
      <c r="I41" s="2995" t="s">
        <v>3328</v>
      </c>
      <c r="J41" s="435">
        <f>SUMIF(120:120,I41,121:121)-SUMIF(120:120,C41,121:121)+100</f>
        <v>100</v>
      </c>
      <c r="K41" s="612"/>
      <c r="L41" s="1141"/>
      <c r="M41" s="1144"/>
      <c r="N41" s="1144"/>
      <c r="O41" s="1144"/>
      <c r="P41" s="3295"/>
      <c r="Q41" s="776" t="str">
        <f t="shared" si="11"/>
        <v>进深比</v>
      </c>
      <c r="R41" s="777" t="s">
        <v>17</v>
      </c>
      <c r="S41" s="778">
        <f t="shared" si="12"/>
        <v>100</v>
      </c>
      <c r="T41" s="777" t="s">
        <v>17</v>
      </c>
      <c r="U41" s="778">
        <f t="shared" si="13"/>
        <v>100</v>
      </c>
      <c r="V41" s="777" t="s">
        <v>17</v>
      </c>
      <c r="W41" s="778">
        <f t="shared" si="14"/>
        <v>100</v>
      </c>
      <c r="X41" s="779"/>
      <c r="Y41" s="3258"/>
      <c r="Z41" s="780" t="str">
        <f t="shared" si="15"/>
        <v>进深比</v>
      </c>
      <c r="AA41" s="1814">
        <f t="shared" si="3"/>
        <v>1</v>
      </c>
      <c r="AB41" s="1814">
        <f t="shared" si="4"/>
        <v>1</v>
      </c>
      <c r="AC41" s="1814">
        <f t="shared" si="5"/>
        <v>1</v>
      </c>
    </row>
    <row r="42" spans="1:29" ht="15">
      <c r="A42" s="472"/>
      <c r="B42" s="422" t="s">
        <v>2669</v>
      </c>
      <c r="C42" s="2999" t="s">
        <v>3327</v>
      </c>
      <c r="D42" s="435">
        <v>100</v>
      </c>
      <c r="E42" s="2999" t="s">
        <v>3327</v>
      </c>
      <c r="F42" s="461">
        <f>SUMIF(122:122,E42,123:123)-SUMIF(122:122,C42,123:123)+100</f>
        <v>100</v>
      </c>
      <c r="G42" s="2999" t="s">
        <v>3327</v>
      </c>
      <c r="H42" s="435">
        <f>SUMIF(122:122,G42,123:123)-SUMIF(122:122,C42,123:123)+100</f>
        <v>100</v>
      </c>
      <c r="I42" s="2999" t="s">
        <v>3327</v>
      </c>
      <c r="J42" s="435">
        <f>SUMIF(122:122,I42,123:123)-SUMIF(122:122,C42,123:123)+100</f>
        <v>100</v>
      </c>
      <c r="K42" s="612"/>
      <c r="L42" s="1143"/>
      <c r="M42" s="1134"/>
      <c r="N42" s="1134"/>
      <c r="O42" s="1134"/>
      <c r="P42" s="3295"/>
      <c r="Q42" s="1813" t="str">
        <f t="shared" si="11"/>
        <v>内部装修</v>
      </c>
      <c r="R42" s="774" t="s">
        <v>17</v>
      </c>
      <c r="S42" s="775">
        <f t="shared" si="12"/>
        <v>100</v>
      </c>
      <c r="T42" s="774" t="s">
        <v>17</v>
      </c>
      <c r="U42" s="775">
        <f t="shared" si="13"/>
        <v>100</v>
      </c>
      <c r="V42" s="774" t="s">
        <v>17</v>
      </c>
      <c r="W42" s="775">
        <f t="shared" si="14"/>
        <v>100</v>
      </c>
      <c r="X42" s="1816"/>
      <c r="Y42" s="3258"/>
      <c r="Z42" s="1817" t="str">
        <f t="shared" si="15"/>
        <v>内部装修</v>
      </c>
      <c r="AA42" s="1814">
        <f t="shared" si="3"/>
        <v>1</v>
      </c>
      <c r="AB42" s="1814">
        <f t="shared" si="4"/>
        <v>1</v>
      </c>
      <c r="AC42" s="1814">
        <f t="shared" si="5"/>
        <v>1</v>
      </c>
    </row>
    <row r="43" spans="1:29" ht="15">
      <c r="A43" s="472"/>
      <c r="B43" s="422" t="s">
        <v>2577</v>
      </c>
      <c r="C43" s="2999" t="s">
        <v>3328</v>
      </c>
      <c r="D43" s="435">
        <v>100</v>
      </c>
      <c r="E43" s="2999" t="s">
        <v>3328</v>
      </c>
      <c r="F43" s="461">
        <f>SUMIF(124:124,E43,125:125)-SUMIF(124:124,C43,125:125)+100</f>
        <v>100</v>
      </c>
      <c r="G43" s="2999" t="s">
        <v>3328</v>
      </c>
      <c r="H43" s="435">
        <f>SUMIF(124:124,G43,125:125)-SUMIF(124:124,C43,125:125)+100</f>
        <v>100</v>
      </c>
      <c r="I43" s="2999" t="s">
        <v>3328</v>
      </c>
      <c r="J43" s="435">
        <f>SUMIF(124:124,I43,125:125)-SUMIF(124:124,C43,125:125)+100</f>
        <v>100</v>
      </c>
      <c r="K43" s="612"/>
      <c r="L43" s="1143"/>
      <c r="M43" s="1134"/>
      <c r="N43" s="1134"/>
      <c r="O43" s="1134"/>
      <c r="P43" s="3295"/>
      <c r="Q43" s="1813" t="str">
        <f t="shared" si="11"/>
        <v>内部装修维护情况</v>
      </c>
      <c r="R43" s="774" t="s">
        <v>17</v>
      </c>
      <c r="S43" s="775">
        <f t="shared" si="12"/>
        <v>100</v>
      </c>
      <c r="T43" s="774" t="s">
        <v>17</v>
      </c>
      <c r="U43" s="775">
        <f t="shared" si="13"/>
        <v>100</v>
      </c>
      <c r="V43" s="774" t="s">
        <v>17</v>
      </c>
      <c r="W43" s="775">
        <f t="shared" si="14"/>
        <v>100</v>
      </c>
      <c r="X43" s="1816"/>
      <c r="Y43" s="325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5"/>
      <c r="Q44" s="1798">
        <f t="shared" si="11"/>
        <v>111</v>
      </c>
      <c r="R44" s="770" t="s">
        <v>17</v>
      </c>
      <c r="S44" s="771">
        <f t="shared" si="12"/>
        <v>100</v>
      </c>
      <c r="T44" s="770" t="s">
        <v>17</v>
      </c>
      <c r="U44" s="771">
        <f t="shared" si="13"/>
        <v>100</v>
      </c>
      <c r="V44" s="770" t="s">
        <v>17</v>
      </c>
      <c r="W44" s="771">
        <f t="shared" si="14"/>
        <v>100</v>
      </c>
      <c r="X44" s="772"/>
      <c r="Y44" s="325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5"/>
      <c r="Q45" s="1813">
        <f t="shared" si="11"/>
        <v>111</v>
      </c>
      <c r="R45" s="774" t="s">
        <v>17</v>
      </c>
      <c r="S45" s="775">
        <f t="shared" si="12"/>
        <v>100</v>
      </c>
      <c r="T45" s="774" t="s">
        <v>17</v>
      </c>
      <c r="U45" s="775">
        <f t="shared" si="13"/>
        <v>100</v>
      </c>
      <c r="V45" s="774" t="s">
        <v>17</v>
      </c>
      <c r="W45" s="775">
        <f t="shared" si="14"/>
        <v>100</v>
      </c>
      <c r="X45" s="1816"/>
      <c r="Y45" s="3258"/>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96"/>
      <c r="Q46" s="1813">
        <f t="shared" si="11"/>
        <v>111</v>
      </c>
      <c r="R46" s="774" t="s">
        <v>17</v>
      </c>
      <c r="S46" s="775">
        <f t="shared" si="12"/>
        <v>100</v>
      </c>
      <c r="T46" s="774" t="s">
        <v>17</v>
      </c>
      <c r="U46" s="775">
        <f t="shared" si="13"/>
        <v>100</v>
      </c>
      <c r="V46" s="774" t="s">
        <v>17</v>
      </c>
      <c r="W46" s="775">
        <f t="shared" si="14"/>
        <v>100</v>
      </c>
      <c r="X46" s="1816"/>
      <c r="Y46" s="3297"/>
      <c r="Z46" s="1817">
        <f t="shared" si="15"/>
        <v>111</v>
      </c>
      <c r="AA46" s="1814">
        <f t="shared" si="3"/>
        <v>1</v>
      </c>
      <c r="AB46" s="1814">
        <f t="shared" si="4"/>
        <v>1</v>
      </c>
      <c r="AC46" s="1814">
        <f t="shared" si="5"/>
        <v>1</v>
      </c>
    </row>
    <row r="47" spans="1:29" ht="15">
      <c r="A47" s="479" t="s">
        <v>2578</v>
      </c>
      <c r="B47" s="480"/>
      <c r="C47" s="1410" t="s">
        <v>1</v>
      </c>
      <c r="D47" s="1411"/>
      <c r="E47" s="1412">
        <v>25269</v>
      </c>
      <c r="F47" s="1413"/>
      <c r="G47" s="1414">
        <v>26261</v>
      </c>
      <c r="H47" s="1415"/>
      <c r="I47" s="1412">
        <v>24500</v>
      </c>
      <c r="J47" s="1415"/>
      <c r="K47" s="783"/>
      <c r="L47" s="1146"/>
      <c r="M47" s="1147"/>
      <c r="N47" s="1134"/>
      <c r="O47" s="1147"/>
      <c r="P47" s="3253" t="str">
        <f>A47</f>
        <v>成交单价（元/平方米）</v>
      </c>
      <c r="Q47" s="3253"/>
      <c r="R47" s="3259">
        <f>E47</f>
        <v>25269</v>
      </c>
      <c r="S47" s="3259"/>
      <c r="T47" s="3259">
        <f>G47</f>
        <v>26261</v>
      </c>
      <c r="U47" s="3259"/>
      <c r="V47" s="3259">
        <f>I47</f>
        <v>24500</v>
      </c>
      <c r="W47" s="3259"/>
      <c r="X47" s="759"/>
      <c r="Y47" s="781"/>
      <c r="Z47" s="759"/>
      <c r="AA47" s="759"/>
      <c r="AB47" s="759"/>
      <c r="AC47" s="759"/>
    </row>
    <row r="48" spans="1:29" ht="15.75" thickBot="1">
      <c r="A48" s="486" t="s">
        <v>2670</v>
      </c>
      <c r="B48" s="487"/>
      <c r="C48" s="1416">
        <f>R49</f>
        <v>26525</v>
      </c>
      <c r="D48" s="1417"/>
      <c r="E48" s="1418">
        <f>R48</f>
        <v>26447</v>
      </c>
      <c r="F48" s="1418"/>
      <c r="G48" s="1416">
        <f>T48</f>
        <v>27485</v>
      </c>
      <c r="H48" s="1417"/>
      <c r="I48" s="1418">
        <f>V48</f>
        <v>25642</v>
      </c>
      <c r="J48" s="1417"/>
      <c r="K48" s="784"/>
      <c r="L48" s="1146"/>
      <c r="M48" s="1147"/>
      <c r="N48" s="1134"/>
      <c r="O48" s="1147"/>
      <c r="P48" s="3253" t="str">
        <f>A48</f>
        <v>比较价值（元/平方米）</v>
      </c>
      <c r="Q48" s="3253"/>
      <c r="R48" s="3290">
        <f>IF(F1="售价",ROUND(PRODUCT(R47,AA7:AA46),0),ROUND(PRODUCT(R47,AA7:AA46),1))</f>
        <v>26447</v>
      </c>
      <c r="S48" s="3290"/>
      <c r="T48" s="3290">
        <f>IF(F1="售价",ROUND(PRODUCT(T47,AB7:AB46),0),ROUND(PRODUCT(T47,AB7:AB46),1))</f>
        <v>27485</v>
      </c>
      <c r="U48" s="3290"/>
      <c r="V48" s="3290">
        <f>IF(F1="售价",ROUND(PRODUCT(V47,AC7:AC46),0),ROUND(PRODUCT(V47,AC7:AC46),1))</f>
        <v>25642</v>
      </c>
      <c r="W48" s="3290"/>
      <c r="X48" s="759"/>
      <c r="Y48" s="759"/>
      <c r="Z48" s="759"/>
      <c r="AA48" s="759"/>
      <c r="AB48" s="759"/>
      <c r="AC48" s="759"/>
    </row>
    <row r="49" spans="1:29" ht="15.75" thickBot="1">
      <c r="A49" s="492" t="s">
        <v>2671</v>
      </c>
      <c r="B49" s="493"/>
      <c r="C49" s="1420">
        <f>R49</f>
        <v>26525</v>
      </c>
      <c r="D49" s="1420"/>
      <c r="E49" s="1420"/>
      <c r="F49" s="1420"/>
      <c r="G49" s="1420"/>
      <c r="H49" s="1420"/>
      <c r="I49" s="1420"/>
      <c r="J49" s="1420"/>
      <c r="K49" s="785"/>
      <c r="L49" s="1146"/>
      <c r="M49" s="1147"/>
      <c r="N49" s="1134"/>
      <c r="O49" s="1147"/>
      <c r="P49" s="3247" t="str">
        <f>A49</f>
        <v>估价对象XX用房的比较价值（楼面单价，元/平方米）</v>
      </c>
      <c r="Q49" s="3248"/>
      <c r="R49" s="3291">
        <f>IF(F1="售价",ROUND(AVERAGE(R48:V48),0),ROUND(AVERAGE(R48:V48),1))</f>
        <v>26525</v>
      </c>
      <c r="S49" s="3291"/>
      <c r="T49" s="3291"/>
      <c r="U49" s="3291"/>
      <c r="V49" s="3291"/>
      <c r="W49" s="32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4.6618386164866132E-2</v>
      </c>
      <c r="F52" s="500" t="str">
        <f>IF(OR(E52&gt;=0.3,E52&lt;=-0.3),"超过30%","")</f>
        <v/>
      </c>
      <c r="G52" s="499">
        <f>IF(G47&lt;G48,G48/G47-1,G47/G48-1)</f>
        <v>4.6609040021324377E-2</v>
      </c>
      <c r="H52" s="500" t="str">
        <f>IF(OR(G52&gt;=0.3,G52&lt;=-0.3),"超过30%","")</f>
        <v/>
      </c>
      <c r="I52" s="499">
        <f>IF(I47&lt;I48,I48/I47-1,I47/I48-1)</f>
        <v>4.6612244897959121E-2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3.9248307936627924E-2</v>
      </c>
      <c r="F53" s="500" t="str">
        <f>IF(OR(E53&gt;=0.2,E53&lt;=-0.2),"超过20%","")</f>
        <v/>
      </c>
      <c r="G53" s="499">
        <f>IF(G48&lt;I48,I48/G48-1,G48/I48-1)</f>
        <v>7.1874268777786465E-2</v>
      </c>
      <c r="H53" s="500" t="str">
        <f>IF(OR(G53&gt;=0.2,G53&lt;=-0.2),"超过20%","")</f>
        <v/>
      </c>
      <c r="I53" s="499">
        <f>IF(I48&lt;E48,E48/I48-1,I48/E48-1)</f>
        <v>3.1393807035332566E-2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3.9257588349360883E-2</v>
      </c>
      <c r="F54" s="500" t="str">
        <f>IF(OR(E54&gt;=0.3,E54&lt;=-0.3),"超过30%","")</f>
        <v/>
      </c>
      <c r="G54" s="499">
        <f>IF(G47&lt;I47,I47/G47-1,G47/I47-1)</f>
        <v>7.1877551020408159E-2</v>
      </c>
      <c r="H54" s="500" t="str">
        <f>IF(OR(G54&gt;=0.3,G54&lt;=-0.3),"超过30%","")</f>
        <v/>
      </c>
      <c r="I54" s="499">
        <f>IF(I47&lt;E47,E47/I47-1,I47/E47-1)</f>
        <v>3.1387755102040726E-2</v>
      </c>
      <c r="J54" s="500" t="str">
        <f>IF(OR(I54&gt;=0.3,I54&lt;=-0.3),"超过30%","")</f>
        <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t="str">
        <f>C9</f>
        <v>商业</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v>0</v>
      </c>
      <c r="D68" s="549">
        <v>1</v>
      </c>
      <c r="E68" s="549">
        <v>2</v>
      </c>
      <c r="F68" s="549">
        <v>3</v>
      </c>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3024" t="s">
        <v>3316</v>
      </c>
      <c r="D86" s="3024" t="s">
        <v>3317</v>
      </c>
      <c r="E86" s="3024" t="s">
        <v>3314</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96</v>
      </c>
      <c r="E87" s="544">
        <f t="shared" si="20"/>
        <v>92</v>
      </c>
      <c r="F87" s="544">
        <f t="shared" si="20"/>
        <v>88</v>
      </c>
      <c r="G87" s="544">
        <f t="shared" si="20"/>
        <v>84</v>
      </c>
      <c r="H87" s="544">
        <f t="shared" si="20"/>
        <v>80</v>
      </c>
      <c r="I87" s="544">
        <f t="shared" si="20"/>
        <v>76</v>
      </c>
      <c r="J87" s="544">
        <f t="shared" si="20"/>
        <v>72</v>
      </c>
      <c r="K87" s="544">
        <f t="shared" si="20"/>
        <v>68</v>
      </c>
      <c r="L87" s="544">
        <f t="shared" si="20"/>
        <v>64</v>
      </c>
      <c r="M87" s="544">
        <f t="shared" si="20"/>
        <v>60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3024" t="s">
        <v>3307</v>
      </c>
      <c r="D90" s="3024" t="s">
        <v>3306</v>
      </c>
      <c r="E90" s="3024" t="s">
        <v>3305</v>
      </c>
      <c r="F90" s="554"/>
      <c r="G90" s="554"/>
      <c r="H90" s="555"/>
      <c r="I90" s="555"/>
      <c r="J90" s="555"/>
      <c r="K90" s="555"/>
      <c r="L90" s="556"/>
      <c r="M90" s="557"/>
      <c r="N90" s="1157"/>
      <c r="O90" s="1157"/>
      <c r="P90" s="263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3020" t="s">
        <v>3287</v>
      </c>
      <c r="D100" s="3020" t="s">
        <v>3288</v>
      </c>
      <c r="E100" s="3020" t="s">
        <v>3289</v>
      </c>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6"/>
      <c r="Q101" s="504"/>
    </row>
    <row r="102" spans="1:17" ht="29.25" thickTop="1">
      <c r="A102" s="534"/>
      <c r="B102" s="538" t="s">
        <v>2614</v>
      </c>
      <c r="C102" s="578" t="str">
        <f>C103&amp;"(含)"&amp;"-"&amp;D103</f>
        <v>0(含)-200</v>
      </c>
      <c r="D102" s="578" t="str">
        <f t="shared" ref="D102:L102" si="23">D103&amp;"(含)"&amp;"-"&amp;E103</f>
        <v>200(含)-600</v>
      </c>
      <c r="E102" s="578" t="str">
        <f t="shared" si="23"/>
        <v>600(含)-1500</v>
      </c>
      <c r="F102" s="578" t="str">
        <f t="shared" si="23"/>
        <v>1500(含)-3500</v>
      </c>
      <c r="G102" s="578" t="str">
        <f t="shared" si="23"/>
        <v>3500(含)-7000</v>
      </c>
      <c r="H102" s="578" t="str">
        <f t="shared" si="23"/>
        <v>7000(含)-10000</v>
      </c>
      <c r="I102" s="578" t="str">
        <f t="shared" si="23"/>
        <v>10000(含)-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v>0</v>
      </c>
      <c r="D103" s="595">
        <v>200</v>
      </c>
      <c r="E103" s="595">
        <v>600</v>
      </c>
      <c r="F103" s="595">
        <v>1500</v>
      </c>
      <c r="G103" s="595">
        <v>3500</v>
      </c>
      <c r="H103" s="595">
        <v>7000</v>
      </c>
      <c r="I103" s="595">
        <v>10000</v>
      </c>
      <c r="J103" s="596"/>
      <c r="K103" s="596"/>
      <c r="L103" s="597"/>
      <c r="M103" s="598"/>
      <c r="N103" s="1157"/>
      <c r="O103" s="1157"/>
      <c r="P103" s="2637"/>
      <c r="Q103" s="559"/>
    </row>
    <row r="104" spans="1:17" s="471" customFormat="1" ht="15.75" thickBot="1">
      <c r="A104" s="553"/>
      <c r="B104" s="543"/>
      <c r="C104" s="560">
        <v>100</v>
      </c>
      <c r="D104" s="536">
        <v>99</v>
      </c>
      <c r="E104" s="536">
        <v>98</v>
      </c>
      <c r="F104" s="536">
        <v>97</v>
      </c>
      <c r="G104" s="536">
        <v>96</v>
      </c>
      <c r="H104" s="536">
        <v>95</v>
      </c>
      <c r="I104" s="536">
        <v>94</v>
      </c>
      <c r="J104" s="536">
        <v>93</v>
      </c>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29" sqref="V2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301" t="s">
        <v>3008</v>
      </c>
      <c r="D1" s="3302"/>
      <c r="E1" s="3302"/>
      <c r="F1" s="3302"/>
      <c r="G1" s="3302"/>
      <c r="H1" s="3302"/>
      <c r="I1" s="3302"/>
      <c r="J1" s="3302"/>
      <c r="K1" s="3302"/>
      <c r="L1" s="3302"/>
      <c r="M1" s="3302"/>
      <c r="N1" s="3302"/>
      <c r="O1" s="3302"/>
      <c r="P1" s="3302"/>
      <c r="Q1" s="3302"/>
      <c r="R1" s="3302"/>
      <c r="S1" s="3303"/>
      <c r="T1" s="1207" t="s">
        <v>3009</v>
      </c>
    </row>
    <row r="2" spans="1:45" s="707" customFormat="1" ht="38.25">
      <c r="A2" s="1208"/>
      <c r="B2" s="703" t="s">
        <v>3010</v>
      </c>
      <c r="C2" s="704" t="str">
        <f t="shared" ref="C2:L2" si="0">C3&amp;"(含)"&amp;"-"&amp;D3</f>
        <v>0(含)-200</v>
      </c>
      <c r="D2" s="705" t="str">
        <f t="shared" si="0"/>
        <v>200(含)-600</v>
      </c>
      <c r="E2" s="705" t="str">
        <f t="shared" si="0"/>
        <v>600(含)-1500</v>
      </c>
      <c r="F2" s="705" t="str">
        <f t="shared" si="0"/>
        <v>1500(含)-3500</v>
      </c>
      <c r="G2" s="705" t="str">
        <f t="shared" si="0"/>
        <v>3500(含)-7000</v>
      </c>
      <c r="H2" s="705" t="str">
        <f t="shared" si="0"/>
        <v>7000(含)-10000</v>
      </c>
      <c r="I2" s="705" t="str">
        <f t="shared" si="0"/>
        <v>10000(含)-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600</v>
      </c>
      <c r="F3" s="1707">
        <v>1500</v>
      </c>
      <c r="G3" s="1707">
        <v>3500</v>
      </c>
      <c r="H3" s="1707">
        <v>7000</v>
      </c>
      <c r="I3" s="1707">
        <v>10000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101</v>
      </c>
      <c r="E4" s="1214">
        <v>102</v>
      </c>
      <c r="F4" s="1711">
        <v>103</v>
      </c>
      <c r="G4" s="1711">
        <v>104</v>
      </c>
      <c r="H4" s="1711">
        <v>105</v>
      </c>
      <c r="I4" s="1711">
        <v>106</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8"/>
      <c r="B5" s="1772" t="str">
        <f>'比较法-商业'!B25</f>
        <v>临街状况</v>
      </c>
      <c r="C5" s="3388" t="s">
        <v>3336</v>
      </c>
      <c r="D5" s="3389" t="s">
        <v>3337</v>
      </c>
      <c r="E5" s="3389" t="s">
        <v>3338</v>
      </c>
      <c r="F5" s="1714"/>
      <c r="G5" s="1714"/>
      <c r="H5" s="1714"/>
      <c r="I5" s="1714"/>
      <c r="J5" s="1714"/>
      <c r="K5" s="1714"/>
      <c r="L5" s="1715"/>
      <c r="M5" s="1716"/>
      <c r="N5" s="1716"/>
      <c r="O5" s="1714"/>
      <c r="P5" s="1714"/>
      <c r="Q5" s="1714"/>
      <c r="R5" s="1714"/>
      <c r="S5" s="1717"/>
      <c r="T5" s="1222">
        <v>4</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96</v>
      </c>
      <c r="E6" s="1122">
        <f t="shared" ref="E6:S6" si="7">D6-$T5</f>
        <v>92</v>
      </c>
      <c r="F6" s="1718">
        <f t="shared" si="7"/>
        <v>88</v>
      </c>
      <c r="G6" s="1718">
        <f t="shared" si="7"/>
        <v>84</v>
      </c>
      <c r="H6" s="1718">
        <f t="shared" si="7"/>
        <v>80</v>
      </c>
      <c r="I6" s="1718">
        <f t="shared" si="7"/>
        <v>76</v>
      </c>
      <c r="J6" s="1718">
        <f t="shared" si="7"/>
        <v>72</v>
      </c>
      <c r="K6" s="1718">
        <f t="shared" si="7"/>
        <v>68</v>
      </c>
      <c r="L6" s="1718">
        <f t="shared" si="7"/>
        <v>64</v>
      </c>
      <c r="M6" s="1718">
        <f t="shared" si="7"/>
        <v>60</v>
      </c>
      <c r="N6" s="1718">
        <f t="shared" si="7"/>
        <v>56</v>
      </c>
      <c r="O6" s="1718">
        <f t="shared" si="7"/>
        <v>52</v>
      </c>
      <c r="P6" s="1718">
        <f t="shared" si="7"/>
        <v>48</v>
      </c>
      <c r="Q6" s="1718">
        <f t="shared" si="7"/>
        <v>44</v>
      </c>
      <c r="R6" s="1718">
        <f t="shared" si="7"/>
        <v>40</v>
      </c>
      <c r="S6" s="1718">
        <f t="shared" si="7"/>
        <v>36</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5.5">
      <c r="A7" s="1218"/>
      <c r="B7" s="1773" t="str">
        <f>'比较法-商业'!B26</f>
        <v>平面位置/可视性</v>
      </c>
      <c r="C7" s="3385" t="s">
        <v>3329</v>
      </c>
      <c r="D7" s="3386" t="s">
        <v>3331</v>
      </c>
      <c r="E7" s="3386" t="s">
        <v>3332</v>
      </c>
      <c r="F7" s="3387" t="s">
        <v>3333</v>
      </c>
      <c r="G7" s="3387" t="s">
        <v>3334</v>
      </c>
      <c r="H7" s="1719"/>
      <c r="I7" s="1719"/>
      <c r="J7" s="1719"/>
      <c r="K7" s="1719"/>
      <c r="L7" s="1719"/>
      <c r="M7" s="1720"/>
      <c r="N7" s="1721"/>
      <c r="O7" s="1722"/>
      <c r="P7" s="1723"/>
      <c r="Q7" s="1724"/>
      <c r="R7" s="1725"/>
      <c r="S7" s="1726"/>
      <c r="T7" s="713">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v>1</v>
      </c>
      <c r="D17" s="1235">
        <v>2</v>
      </c>
      <c r="E17" s="1235">
        <v>3</v>
      </c>
      <c r="F17" s="1235">
        <v>4</v>
      </c>
      <c r="G17" s="1235">
        <v>-1</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80</v>
      </c>
      <c r="E18" s="1247">
        <v>70</v>
      </c>
      <c r="F18" s="1247">
        <v>60</v>
      </c>
      <c r="G18" s="1247">
        <v>80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f>IF(D20="——",S22,S22-F20)</f>
        <v>64783</v>
      </c>
      <c r="C20" s="168"/>
      <c r="D20" s="2924" t="s">
        <v>70</v>
      </c>
      <c r="E20" s="1796"/>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75">
      <c r="A21" s="715" t="s">
        <v>3020</v>
      </c>
      <c r="B21" s="338">
        <f>R22</f>
        <v>22073</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29349.509999999995</v>
      </c>
      <c r="C22" s="3238" t="s">
        <v>33</v>
      </c>
      <c r="D22" s="3239"/>
      <c r="E22" s="3239"/>
      <c r="F22" s="3239"/>
      <c r="G22" s="3239"/>
      <c r="H22" s="3239"/>
      <c r="I22" s="3239"/>
      <c r="J22" s="3239"/>
      <c r="K22" s="3239"/>
      <c r="L22" s="3239"/>
      <c r="M22" s="3239"/>
      <c r="N22" s="3239"/>
      <c r="O22" s="3239"/>
      <c r="P22" s="3239"/>
      <c r="Q22" s="3300"/>
      <c r="R22" s="716">
        <f>ROUND(S22*10000/B22,0)</f>
        <v>22073</v>
      </c>
      <c r="S22" s="24">
        <f>SUM(S24:S10000)</f>
        <v>64783</v>
      </c>
    </row>
    <row r="23" spans="1:45" s="12" customFormat="1" ht="24">
      <c r="A23" s="11" t="s">
        <v>3022</v>
      </c>
      <c r="B23" s="11" t="s">
        <v>3023</v>
      </c>
      <c r="C23" s="11" t="s">
        <v>3024</v>
      </c>
      <c r="D23" s="11" t="str">
        <f>B5</f>
        <v>临街状况</v>
      </c>
      <c r="E23" s="11" t="s">
        <v>3024</v>
      </c>
      <c r="F23" s="11" t="str">
        <f>B7</f>
        <v>平面位置/可视性</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18" t="s">
        <v>3271</v>
      </c>
      <c r="B24" s="718">
        <f>Sheet1!C34+Sheet1!D34+Sheet1!E34</f>
        <v>7862.2099999999991</v>
      </c>
      <c r="C24" s="719">
        <v>1</v>
      </c>
      <c r="D24" s="720" t="s">
        <v>3335</v>
      </c>
      <c r="E24" s="719">
        <v>1</v>
      </c>
      <c r="F24" s="720" t="s">
        <v>3330</v>
      </c>
      <c r="G24" s="719">
        <v>1</v>
      </c>
      <c r="H24" s="720"/>
      <c r="I24" s="719">
        <v>1</v>
      </c>
      <c r="J24" s="720"/>
      <c r="K24" s="719">
        <v>1</v>
      </c>
      <c r="L24" s="720"/>
      <c r="M24" s="719">
        <v>1</v>
      </c>
      <c r="N24" s="720"/>
      <c r="O24" s="719">
        <v>1</v>
      </c>
      <c r="P24" s="720">
        <v>1</v>
      </c>
      <c r="Q24" s="719">
        <v>1</v>
      </c>
      <c r="R24" s="721">
        <f>'比较法-商业'!B3</f>
        <v>26525</v>
      </c>
      <c r="S24" s="719">
        <f t="shared" ref="S24:S54" si="11">ROUND(R24*B24/10000,0)</f>
        <v>20855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3272</v>
      </c>
      <c r="B25" s="59">
        <f>Sheet1!C33+Sheet1!D33+Sheet1!E33</f>
        <v>7738.8899999999994</v>
      </c>
      <c r="C25" s="24">
        <f>IF(B25="",1,(LOOKUP(B25,$3:$3,$4:$4)-LOOKUP($B$24,$3:$3,$4:$4)+100)/100)</f>
        <v>1</v>
      </c>
      <c r="D25" s="720" t="s">
        <v>3335</v>
      </c>
      <c r="E25" s="24">
        <f>(SUMIF($5:$5,D25,$6:$6)-SUMIF($5:$5,$D$24,$6:$6)+100)/100</f>
        <v>1</v>
      </c>
      <c r="F25" s="3390" t="s">
        <v>3339</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0.8</v>
      </c>
      <c r="R25" s="716">
        <f>IF(B25="",0,ROUND($R$24*C25*E25*G25*I25*K25*M25*O25*Q25,0))</f>
        <v>21220</v>
      </c>
      <c r="S25" s="361">
        <f t="shared" si="11"/>
        <v>16422</v>
      </c>
    </row>
    <row r="26" spans="1:45">
      <c r="A26" s="159" t="s">
        <v>3273</v>
      </c>
      <c r="B26" s="59">
        <f>Sheet1!D32+Sheet1!D32</f>
        <v>2820.1</v>
      </c>
      <c r="C26" s="24">
        <f t="shared" ref="C26:C89" si="12">IF(B26="",1,(LOOKUP(B26,$3:$3,$4:$4)-LOOKUP($B$24,$3:$3,$4:$4)+100)/100)</f>
        <v>0.98</v>
      </c>
      <c r="D26" s="720" t="s">
        <v>3335</v>
      </c>
      <c r="E26" s="24">
        <f t="shared" ref="E26:E89" si="13">(SUMIF($5:$5,D26,$6:$6)-SUMIF($5:$5,$D$24,$6:$6)+100)/100</f>
        <v>1</v>
      </c>
      <c r="F26" s="3390" t="s">
        <v>3331</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0.7</v>
      </c>
      <c r="R26" s="716">
        <f t="shared" ref="R26:R89" si="20">IF(B26="",0,ROUND($R$24*C26*E26*G26*I26*K26*M26*O26*Q26,0))</f>
        <v>18196</v>
      </c>
      <c r="S26" s="361">
        <f t="shared" si="11"/>
        <v>5131</v>
      </c>
    </row>
    <row r="27" spans="1:45">
      <c r="A27" s="159" t="s">
        <v>3274</v>
      </c>
      <c r="B27" s="59">
        <f>Sheet1!D31</f>
        <v>1410.05</v>
      </c>
      <c r="C27" s="24">
        <f t="shared" si="12"/>
        <v>0.97</v>
      </c>
      <c r="D27" s="720" t="s">
        <v>3335</v>
      </c>
      <c r="E27" s="24">
        <f t="shared" si="13"/>
        <v>1</v>
      </c>
      <c r="F27" s="3390" t="s">
        <v>3331</v>
      </c>
      <c r="G27" s="24">
        <f t="shared" si="14"/>
        <v>1</v>
      </c>
      <c r="H27" s="720"/>
      <c r="I27" s="24">
        <f t="shared" si="15"/>
        <v>1</v>
      </c>
      <c r="J27" s="720"/>
      <c r="K27" s="24">
        <f t="shared" si="16"/>
        <v>1</v>
      </c>
      <c r="L27" s="720"/>
      <c r="M27" s="24">
        <f t="shared" si="17"/>
        <v>1</v>
      </c>
      <c r="N27" s="720"/>
      <c r="O27" s="24">
        <f t="shared" si="18"/>
        <v>1</v>
      </c>
      <c r="P27" s="720">
        <v>4</v>
      </c>
      <c r="Q27" s="24">
        <f t="shared" si="19"/>
        <v>0.6</v>
      </c>
      <c r="R27" s="716">
        <f t="shared" si="20"/>
        <v>15438</v>
      </c>
      <c r="S27" s="361">
        <f t="shared" si="11"/>
        <v>2177</v>
      </c>
    </row>
    <row r="28" spans="1:45">
      <c r="A28" s="159" t="s">
        <v>3275</v>
      </c>
      <c r="B28" s="59">
        <f>Sheet1!C35+Sheet1!D35+Sheet1!E35</f>
        <v>9518.2599999999984</v>
      </c>
      <c r="C28" s="24">
        <f t="shared" si="12"/>
        <v>1</v>
      </c>
      <c r="D28" s="720" t="s">
        <v>3335</v>
      </c>
      <c r="E28" s="24">
        <f t="shared" si="13"/>
        <v>1</v>
      </c>
      <c r="F28" s="3390" t="s">
        <v>3331</v>
      </c>
      <c r="G28" s="24">
        <f t="shared" si="14"/>
        <v>1</v>
      </c>
      <c r="H28" s="720"/>
      <c r="I28" s="24">
        <f t="shared" si="15"/>
        <v>1</v>
      </c>
      <c r="J28" s="720"/>
      <c r="K28" s="24">
        <f t="shared" si="16"/>
        <v>1</v>
      </c>
      <c r="L28" s="720"/>
      <c r="M28" s="24">
        <f t="shared" si="17"/>
        <v>1</v>
      </c>
      <c r="N28" s="720"/>
      <c r="O28" s="24">
        <f t="shared" si="18"/>
        <v>1</v>
      </c>
      <c r="P28" s="720">
        <v>-1</v>
      </c>
      <c r="Q28" s="24">
        <f t="shared" si="19"/>
        <v>0.8</v>
      </c>
      <c r="R28" s="716">
        <f t="shared" si="20"/>
        <v>21220</v>
      </c>
      <c r="S28" s="361">
        <f t="shared" si="11"/>
        <v>20198</v>
      </c>
    </row>
    <row r="29" spans="1:45">
      <c r="A29" s="159"/>
      <c r="B29" s="59"/>
      <c r="C29" s="24">
        <f t="shared" si="12"/>
        <v>1</v>
      </c>
      <c r="D29" s="720"/>
      <c r="E29" s="24">
        <f t="shared" si="13"/>
        <v>0</v>
      </c>
      <c r="F29" s="720"/>
      <c r="G29" s="24">
        <f t="shared" si="14"/>
        <v>0.01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0</v>
      </c>
      <c r="F30" s="720"/>
      <c r="G30" s="24">
        <f t="shared" si="14"/>
        <v>0.01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0</v>
      </c>
      <c r="F31" s="720"/>
      <c r="G31" s="24">
        <f t="shared" si="14"/>
        <v>0.01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0</v>
      </c>
      <c r="F32" s="720"/>
      <c r="G32" s="24">
        <f t="shared" si="14"/>
        <v>0.01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0</v>
      </c>
      <c r="F33" s="720"/>
      <c r="G33" s="24">
        <f t="shared" si="14"/>
        <v>0.01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0</v>
      </c>
      <c r="F34" s="720"/>
      <c r="G34" s="24">
        <f t="shared" si="14"/>
        <v>0.01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0</v>
      </c>
      <c r="F35" s="720"/>
      <c r="G35" s="24">
        <f t="shared" si="14"/>
        <v>0.01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0</v>
      </c>
      <c r="F36" s="720"/>
      <c r="G36" s="24">
        <f t="shared" si="14"/>
        <v>0.01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v>
      </c>
      <c r="F37" s="720"/>
      <c r="G37" s="24">
        <f t="shared" si="14"/>
        <v>0.01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v>
      </c>
      <c r="F38" s="720"/>
      <c r="G38" s="24">
        <f t="shared" si="14"/>
        <v>0.01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v>
      </c>
      <c r="F39" s="720"/>
      <c r="G39" s="24">
        <f t="shared" si="14"/>
        <v>0.01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v>
      </c>
      <c r="F40" s="720"/>
      <c r="G40" s="24">
        <f t="shared" si="14"/>
        <v>0.01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v>
      </c>
      <c r="F41" s="720"/>
      <c r="G41" s="24">
        <f t="shared" si="14"/>
        <v>0.01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v>
      </c>
      <c r="F42" s="720"/>
      <c r="G42" s="24">
        <f t="shared" si="14"/>
        <v>0.01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v>
      </c>
      <c r="F43" s="720"/>
      <c r="G43" s="24">
        <f t="shared" si="14"/>
        <v>0.01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v>
      </c>
      <c r="F44" s="720"/>
      <c r="G44" s="24">
        <f t="shared" si="14"/>
        <v>0.01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v>
      </c>
      <c r="F45" s="720"/>
      <c r="G45" s="24">
        <f t="shared" si="14"/>
        <v>0.01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v>
      </c>
      <c r="F46" s="720"/>
      <c r="G46" s="24">
        <f t="shared" si="14"/>
        <v>0.01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v>
      </c>
      <c r="F47" s="720"/>
      <c r="G47" s="24">
        <f t="shared" si="14"/>
        <v>0.01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v>
      </c>
      <c r="F48" s="720"/>
      <c r="G48" s="24">
        <f t="shared" si="14"/>
        <v>0.01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v>
      </c>
      <c r="F49" s="720"/>
      <c r="G49" s="24">
        <f t="shared" si="14"/>
        <v>0.01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v>
      </c>
      <c r="F50" s="720"/>
      <c r="G50" s="24">
        <f t="shared" si="14"/>
        <v>0.01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v>
      </c>
      <c r="F51" s="720"/>
      <c r="G51" s="24">
        <f t="shared" si="14"/>
        <v>0.01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v>
      </c>
      <c r="F52" s="720"/>
      <c r="G52" s="24">
        <f t="shared" si="14"/>
        <v>0.01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v>
      </c>
      <c r="F53" s="720"/>
      <c r="G53" s="24">
        <f t="shared" si="14"/>
        <v>0.01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v>
      </c>
      <c r="F54" s="720"/>
      <c r="G54" s="24">
        <f t="shared" si="14"/>
        <v>0.01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v>
      </c>
      <c r="F55" s="720"/>
      <c r="G55" s="24">
        <f t="shared" si="14"/>
        <v>0.01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v>
      </c>
      <c r="F56" s="720"/>
      <c r="G56" s="24">
        <f t="shared" si="14"/>
        <v>0.01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v>
      </c>
      <c r="F57" s="720"/>
      <c r="G57" s="24">
        <f t="shared" si="14"/>
        <v>0.01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v>
      </c>
      <c r="F58" s="720"/>
      <c r="G58" s="24">
        <f t="shared" si="14"/>
        <v>0.01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v>
      </c>
      <c r="F59" s="720"/>
      <c r="G59" s="24">
        <f t="shared" si="14"/>
        <v>0.01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v>
      </c>
      <c r="F60" s="720"/>
      <c r="G60" s="24">
        <f t="shared" si="14"/>
        <v>0.01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v>
      </c>
      <c r="F61" s="720"/>
      <c r="G61" s="24">
        <f t="shared" si="14"/>
        <v>0.01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v>
      </c>
      <c r="F62" s="720"/>
      <c r="G62" s="24">
        <f t="shared" si="14"/>
        <v>0.01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v>
      </c>
      <c r="F63" s="720"/>
      <c r="G63" s="24">
        <f t="shared" si="14"/>
        <v>0.01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v>
      </c>
      <c r="F64" s="720"/>
      <c r="G64" s="24">
        <f t="shared" si="14"/>
        <v>0.01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v>
      </c>
      <c r="F65" s="720"/>
      <c r="G65" s="24">
        <f t="shared" si="14"/>
        <v>0.01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v>
      </c>
      <c r="F66" s="720"/>
      <c r="G66" s="24">
        <f t="shared" si="14"/>
        <v>0.01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v>
      </c>
      <c r="F67" s="720"/>
      <c r="G67" s="24">
        <f t="shared" si="14"/>
        <v>0.01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v>
      </c>
      <c r="F68" s="720"/>
      <c r="G68" s="24">
        <f t="shared" si="14"/>
        <v>0.01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v>
      </c>
      <c r="F69" s="720"/>
      <c r="G69" s="24">
        <f t="shared" si="14"/>
        <v>0.01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v>
      </c>
      <c r="F70" s="720"/>
      <c r="G70" s="24">
        <f t="shared" si="14"/>
        <v>0.01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v>
      </c>
      <c r="F71" s="720"/>
      <c r="G71" s="24">
        <f t="shared" si="14"/>
        <v>0.01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v>
      </c>
      <c r="F72" s="720"/>
      <c r="G72" s="24">
        <f t="shared" si="14"/>
        <v>0.01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v>
      </c>
      <c r="F73" s="720"/>
      <c r="G73" s="24">
        <f t="shared" si="14"/>
        <v>0.01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v>
      </c>
      <c r="F74" s="720"/>
      <c r="G74" s="24">
        <f t="shared" si="14"/>
        <v>0.01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v>
      </c>
      <c r="F75" s="720"/>
      <c r="G75" s="24">
        <f t="shared" si="14"/>
        <v>0.01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v>
      </c>
      <c r="F76" s="720"/>
      <c r="G76" s="24">
        <f t="shared" si="14"/>
        <v>0.01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v>
      </c>
      <c r="F77" s="720"/>
      <c r="G77" s="24">
        <f t="shared" si="14"/>
        <v>0.01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v>
      </c>
      <c r="F78" s="720"/>
      <c r="G78" s="24">
        <f t="shared" si="14"/>
        <v>0.01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v>
      </c>
      <c r="F79" s="720"/>
      <c r="G79" s="24">
        <f t="shared" si="14"/>
        <v>0.01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v>
      </c>
      <c r="F80" s="720"/>
      <c r="G80" s="24">
        <f t="shared" si="14"/>
        <v>0.01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v>
      </c>
      <c r="F81" s="720"/>
      <c r="G81" s="24">
        <f t="shared" si="14"/>
        <v>0.01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v>
      </c>
      <c r="F82" s="720"/>
      <c r="G82" s="24">
        <f t="shared" si="14"/>
        <v>0.01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v>
      </c>
      <c r="F83" s="720"/>
      <c r="G83" s="24">
        <f t="shared" si="14"/>
        <v>0.01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v>
      </c>
      <c r="F84" s="720"/>
      <c r="G84" s="24">
        <f t="shared" si="14"/>
        <v>0.01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v>
      </c>
      <c r="F85" s="720"/>
      <c r="G85" s="24">
        <f t="shared" si="14"/>
        <v>0.01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v>
      </c>
      <c r="F86" s="720"/>
      <c r="G86" s="24">
        <f t="shared" si="14"/>
        <v>0.01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v>
      </c>
      <c r="F87" s="720"/>
      <c r="G87" s="24">
        <f t="shared" si="14"/>
        <v>0.01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v>
      </c>
      <c r="F88" s="720"/>
      <c r="G88" s="24">
        <f t="shared" si="14"/>
        <v>0.01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v>
      </c>
      <c r="F89" s="720"/>
      <c r="G89" s="24">
        <f t="shared" si="14"/>
        <v>0.01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v>
      </c>
      <c r="F92" s="720"/>
      <c r="G92" s="24">
        <f t="shared" si="25"/>
        <v>0.01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v>
      </c>
      <c r="F93" s="720"/>
      <c r="G93" s="24">
        <f t="shared" si="25"/>
        <v>0.01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v>
      </c>
      <c r="F94" s="720"/>
      <c r="G94" s="24">
        <f t="shared" si="25"/>
        <v>0.01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v>
      </c>
      <c r="F95" s="720"/>
      <c r="G95" s="24">
        <f t="shared" si="25"/>
        <v>0.01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v>
      </c>
      <c r="F96" s="720"/>
      <c r="G96" s="24">
        <f t="shared" si="25"/>
        <v>0.01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v>
      </c>
      <c r="F97" s="720"/>
      <c r="G97" s="24">
        <f t="shared" si="25"/>
        <v>0.01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v>
      </c>
      <c r="F98" s="720"/>
      <c r="G98" s="24">
        <f t="shared" si="25"/>
        <v>0.01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v>
      </c>
      <c r="F99" s="720"/>
      <c r="G99" s="24">
        <f t="shared" si="25"/>
        <v>0.01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v>
      </c>
      <c r="F100" s="720"/>
      <c r="G100" s="24">
        <f t="shared" si="25"/>
        <v>0.01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v>
      </c>
      <c r="F101" s="720"/>
      <c r="G101" s="24">
        <f t="shared" si="25"/>
        <v>0.01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v>
      </c>
      <c r="F102" s="720"/>
      <c r="G102" s="24">
        <f t="shared" si="25"/>
        <v>0.01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v>
      </c>
      <c r="F103" s="720"/>
      <c r="G103" s="24">
        <f t="shared" si="25"/>
        <v>0.01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v>
      </c>
      <c r="F104" s="720"/>
      <c r="G104" s="24">
        <f t="shared" si="25"/>
        <v>0.01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v>
      </c>
      <c r="F105" s="720"/>
      <c r="G105" s="24">
        <f t="shared" si="25"/>
        <v>0.01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v>
      </c>
      <c r="F106" s="720"/>
      <c r="G106" s="24">
        <f t="shared" si="25"/>
        <v>0.01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v>
      </c>
      <c r="F107" s="720"/>
      <c r="G107" s="24">
        <f t="shared" si="25"/>
        <v>0.01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v>
      </c>
      <c r="F108" s="720"/>
      <c r="G108" s="24">
        <f t="shared" si="25"/>
        <v>0.01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v>
      </c>
      <c r="F109" s="720"/>
      <c r="G109" s="24">
        <f t="shared" si="25"/>
        <v>0.01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v>
      </c>
      <c r="F110" s="720"/>
      <c r="G110" s="24">
        <f t="shared" si="25"/>
        <v>0.01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v>
      </c>
      <c r="F111" s="720"/>
      <c r="G111" s="24">
        <f t="shared" si="25"/>
        <v>0.01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v>
      </c>
      <c r="F112" s="720"/>
      <c r="G112" s="24">
        <f t="shared" si="25"/>
        <v>0.01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v>
      </c>
      <c r="F113" s="720"/>
      <c r="G113" s="24">
        <f t="shared" si="25"/>
        <v>0.01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v>
      </c>
      <c r="F114" s="720"/>
      <c r="G114" s="24">
        <f t="shared" si="25"/>
        <v>0.01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v>
      </c>
      <c r="F115" s="720"/>
      <c r="G115" s="24">
        <f t="shared" si="25"/>
        <v>0.01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v>
      </c>
      <c r="F116" s="720"/>
      <c r="G116" s="24">
        <f t="shared" si="25"/>
        <v>0.01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v>
      </c>
      <c r="F117" s="720"/>
      <c r="G117" s="24">
        <f t="shared" si="25"/>
        <v>0.01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v>
      </c>
      <c r="F118" s="720"/>
      <c r="G118" s="24">
        <f t="shared" si="25"/>
        <v>0.01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v>
      </c>
      <c r="F119" s="720"/>
      <c r="G119" s="24">
        <f t="shared" si="25"/>
        <v>0.01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v>
      </c>
      <c r="F120" s="720"/>
      <c r="G120" s="24">
        <f t="shared" si="25"/>
        <v>0.01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v>
      </c>
      <c r="F121" s="720"/>
      <c r="G121" s="24">
        <f t="shared" si="25"/>
        <v>0.01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v>
      </c>
      <c r="F122" s="720"/>
      <c r="G122" s="24">
        <f t="shared" si="25"/>
        <v>0.01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v>
      </c>
      <c r="F123" s="720"/>
      <c r="G123" s="24">
        <f t="shared" si="25"/>
        <v>0.01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v>
      </c>
      <c r="F124" s="720"/>
      <c r="G124" s="24">
        <f t="shared" si="25"/>
        <v>0.01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v>
      </c>
      <c r="F125" s="720"/>
      <c r="G125" s="24">
        <f t="shared" si="25"/>
        <v>0.01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v>
      </c>
      <c r="F126" s="720"/>
      <c r="G126" s="24">
        <f t="shared" si="25"/>
        <v>0.01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v>
      </c>
      <c r="F127" s="720"/>
      <c r="G127" s="24">
        <f t="shared" si="25"/>
        <v>0.01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v>
      </c>
      <c r="F128" s="720"/>
      <c r="G128" s="24">
        <f t="shared" si="25"/>
        <v>0.01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v>
      </c>
      <c r="F129" s="720"/>
      <c r="G129" s="24">
        <f t="shared" si="25"/>
        <v>0.01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v>
      </c>
      <c r="F130" s="720"/>
      <c r="G130" s="24">
        <f t="shared" si="25"/>
        <v>0.01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v>
      </c>
      <c r="F131" s="720"/>
      <c r="G131" s="24">
        <f t="shared" si="25"/>
        <v>0.01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v>
      </c>
      <c r="F132" s="720"/>
      <c r="G132" s="24">
        <f t="shared" si="25"/>
        <v>0.01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v>
      </c>
      <c r="F133" s="720"/>
      <c r="G133" s="24">
        <f t="shared" si="25"/>
        <v>0.01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v>
      </c>
      <c r="F134" s="720"/>
      <c r="G134" s="24">
        <f t="shared" si="25"/>
        <v>0.01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v>
      </c>
      <c r="F135" s="720"/>
      <c r="G135" s="24">
        <f t="shared" si="25"/>
        <v>0.01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v>
      </c>
      <c r="F136" s="720"/>
      <c r="G136" s="24">
        <f t="shared" si="25"/>
        <v>0.01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v>
      </c>
      <c r="F137" s="720"/>
      <c r="G137" s="24">
        <f t="shared" si="25"/>
        <v>0.01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v>
      </c>
      <c r="F138" s="720"/>
      <c r="G138" s="24">
        <f t="shared" si="25"/>
        <v>0.01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v>
      </c>
      <c r="F139" s="720"/>
      <c r="G139" s="24">
        <f t="shared" si="25"/>
        <v>0.01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v>
      </c>
      <c r="F140" s="720"/>
      <c r="G140" s="24">
        <f t="shared" si="25"/>
        <v>0.01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v>
      </c>
      <c r="F141" s="720"/>
      <c r="G141" s="24">
        <f t="shared" si="25"/>
        <v>0.01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v>
      </c>
      <c r="F142" s="720"/>
      <c r="G142" s="24">
        <f t="shared" si="25"/>
        <v>0.01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v>
      </c>
      <c r="F143" s="720"/>
      <c r="G143" s="24">
        <f t="shared" si="25"/>
        <v>0.01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v>
      </c>
      <c r="F144" s="720"/>
      <c r="G144" s="24">
        <f t="shared" si="25"/>
        <v>0.01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v>
      </c>
      <c r="F145" s="720"/>
      <c r="G145" s="24">
        <f t="shared" si="25"/>
        <v>0.01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v>
      </c>
      <c r="F146" s="720"/>
      <c r="G146" s="24">
        <f t="shared" si="25"/>
        <v>0.01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v>
      </c>
      <c r="F147" s="720"/>
      <c r="G147" s="24">
        <f t="shared" si="25"/>
        <v>0.01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v>
      </c>
      <c r="F148" s="720"/>
      <c r="G148" s="24">
        <f t="shared" si="25"/>
        <v>0.01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v>
      </c>
      <c r="F149" s="720"/>
      <c r="G149" s="24">
        <f t="shared" si="25"/>
        <v>0.01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v>
      </c>
      <c r="F150" s="720"/>
      <c r="G150" s="24">
        <f t="shared" si="25"/>
        <v>0.01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v>
      </c>
      <c r="F151" s="720"/>
      <c r="G151" s="24">
        <f t="shared" si="25"/>
        <v>0.01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v>
      </c>
      <c r="F152" s="720"/>
      <c r="G152" s="24">
        <f t="shared" si="25"/>
        <v>0.01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v>
      </c>
      <c r="F153" s="720"/>
      <c r="G153" s="24">
        <f t="shared" si="25"/>
        <v>0.01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v>
      </c>
      <c r="F156" s="720"/>
      <c r="G156" s="24">
        <f t="shared" si="35"/>
        <v>0.01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v>
      </c>
      <c r="F157" s="720"/>
      <c r="G157" s="24">
        <f t="shared" si="35"/>
        <v>0.01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v>
      </c>
      <c r="F158" s="720"/>
      <c r="G158" s="24">
        <f t="shared" si="35"/>
        <v>0.01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v>
      </c>
      <c r="F159" s="720"/>
      <c r="G159" s="24">
        <f t="shared" si="35"/>
        <v>0.01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v>
      </c>
      <c r="F160" s="720"/>
      <c r="G160" s="24">
        <f t="shared" si="35"/>
        <v>0.01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v>
      </c>
      <c r="F161" s="720"/>
      <c r="G161" s="24">
        <f t="shared" si="35"/>
        <v>0.01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v>
      </c>
      <c r="F162" s="720"/>
      <c r="G162" s="24">
        <f t="shared" si="35"/>
        <v>0.01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v>
      </c>
      <c r="F163" s="720"/>
      <c r="G163" s="24">
        <f t="shared" si="35"/>
        <v>0.01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v>
      </c>
      <c r="F164" s="720"/>
      <c r="G164" s="24">
        <f t="shared" si="35"/>
        <v>0.01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v>
      </c>
      <c r="F165" s="720"/>
      <c r="G165" s="24">
        <f t="shared" si="35"/>
        <v>0.01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v>
      </c>
      <c r="F166" s="720"/>
      <c r="G166" s="24">
        <f t="shared" si="35"/>
        <v>0.01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v>
      </c>
      <c r="F167" s="720"/>
      <c r="G167" s="24">
        <f t="shared" si="35"/>
        <v>0.01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v>
      </c>
      <c r="F168" s="720"/>
      <c r="G168" s="24">
        <f t="shared" si="35"/>
        <v>0.01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v>
      </c>
      <c r="F169" s="720"/>
      <c r="G169" s="24">
        <f t="shared" si="35"/>
        <v>0.01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v>
      </c>
      <c r="F170" s="720"/>
      <c r="G170" s="24">
        <f t="shared" si="35"/>
        <v>0.01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v>
      </c>
      <c r="F171" s="720"/>
      <c r="G171" s="24">
        <f t="shared" si="35"/>
        <v>0.01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v>
      </c>
      <c r="F172" s="720"/>
      <c r="G172" s="24">
        <f t="shared" si="35"/>
        <v>0.01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v>
      </c>
      <c r="F173" s="720"/>
      <c r="G173" s="24">
        <f t="shared" si="35"/>
        <v>0.01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v>
      </c>
      <c r="F174" s="720"/>
      <c r="G174" s="24">
        <f t="shared" si="35"/>
        <v>0.01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v>
      </c>
      <c r="F175" s="720"/>
      <c r="G175" s="24">
        <f t="shared" si="35"/>
        <v>0.01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v>
      </c>
      <c r="F176" s="720"/>
      <c r="G176" s="24">
        <f t="shared" si="35"/>
        <v>0.01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v>
      </c>
      <c r="F177" s="720"/>
      <c r="G177" s="24">
        <f t="shared" si="35"/>
        <v>0.01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v>
      </c>
      <c r="F178" s="720"/>
      <c r="G178" s="24">
        <f t="shared" si="35"/>
        <v>0.01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v>
      </c>
      <c r="F179" s="720"/>
      <c r="G179" s="24">
        <f t="shared" si="35"/>
        <v>0.01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v>
      </c>
      <c r="F180" s="720"/>
      <c r="G180" s="24">
        <f t="shared" si="35"/>
        <v>0.01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v>
      </c>
      <c r="F181" s="720"/>
      <c r="G181" s="24">
        <f t="shared" si="35"/>
        <v>0.01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v>
      </c>
      <c r="F182" s="720"/>
      <c r="G182" s="24">
        <f t="shared" si="35"/>
        <v>0.01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v>
      </c>
      <c r="F183" s="720"/>
      <c r="G183" s="24">
        <f t="shared" si="35"/>
        <v>0.01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v>
      </c>
      <c r="F184" s="720"/>
      <c r="G184" s="24">
        <f t="shared" si="35"/>
        <v>0.01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v>
      </c>
      <c r="F185" s="720"/>
      <c r="G185" s="24">
        <f t="shared" si="35"/>
        <v>0.01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v>
      </c>
      <c r="F186" s="720"/>
      <c r="G186" s="24">
        <f t="shared" si="35"/>
        <v>0.01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v>
      </c>
      <c r="F187" s="720"/>
      <c r="G187" s="24">
        <f t="shared" si="35"/>
        <v>0.01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v>
      </c>
      <c r="F188" s="720"/>
      <c r="G188" s="24">
        <f t="shared" si="35"/>
        <v>0.01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v>
      </c>
      <c r="F189" s="720"/>
      <c r="G189" s="24">
        <f t="shared" si="35"/>
        <v>0.01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v>
      </c>
      <c r="F190" s="720"/>
      <c r="G190" s="24">
        <f t="shared" si="35"/>
        <v>0.01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v>
      </c>
      <c r="F191" s="720"/>
      <c r="G191" s="24">
        <f t="shared" si="35"/>
        <v>0.01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v>
      </c>
      <c r="F192" s="720"/>
      <c r="G192" s="24">
        <f t="shared" si="35"/>
        <v>0.01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v>
      </c>
      <c r="F193" s="720"/>
      <c r="G193" s="24">
        <f t="shared" si="35"/>
        <v>0.01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v>
      </c>
      <c r="F194" s="720"/>
      <c r="G194" s="24">
        <f t="shared" si="35"/>
        <v>0.01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v>
      </c>
      <c r="F195" s="720"/>
      <c r="G195" s="24">
        <f t="shared" si="35"/>
        <v>0.01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v>
      </c>
      <c r="F196" s="720"/>
      <c r="G196" s="24">
        <f t="shared" si="35"/>
        <v>0.01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v>
      </c>
      <c r="F197" s="720"/>
      <c r="G197" s="24">
        <f t="shared" si="35"/>
        <v>0.01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v>
      </c>
      <c r="F198" s="720"/>
      <c r="G198" s="24">
        <f t="shared" si="35"/>
        <v>0.01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v>
      </c>
      <c r="F199" s="720"/>
      <c r="G199" s="24">
        <f t="shared" si="35"/>
        <v>0.01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v>
      </c>
      <c r="F200" s="720"/>
      <c r="G200" s="24">
        <f t="shared" si="35"/>
        <v>0.01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v>
      </c>
      <c r="F201" s="720"/>
      <c r="G201" s="24">
        <f t="shared" si="35"/>
        <v>0.01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v>
      </c>
      <c r="F202" s="720"/>
      <c r="G202" s="24">
        <f t="shared" si="35"/>
        <v>0.01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v>
      </c>
      <c r="F203" s="720"/>
      <c r="G203" s="24">
        <f t="shared" si="35"/>
        <v>0.01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v>
      </c>
      <c r="F204" s="720"/>
      <c r="G204" s="24">
        <f t="shared" si="35"/>
        <v>0.01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v>
      </c>
      <c r="F205" s="720"/>
      <c r="G205" s="24">
        <f t="shared" si="35"/>
        <v>0.01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v>
      </c>
      <c r="F206" s="720"/>
      <c r="G206" s="24">
        <f t="shared" si="35"/>
        <v>0.01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v>
      </c>
      <c r="F207" s="720"/>
      <c r="G207" s="24">
        <f t="shared" si="35"/>
        <v>0.01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v>
      </c>
      <c r="F208" s="720"/>
      <c r="G208" s="24">
        <f t="shared" si="35"/>
        <v>0.01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v>
      </c>
      <c r="F209" s="720"/>
      <c r="G209" s="24">
        <f t="shared" si="35"/>
        <v>0.01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v>
      </c>
      <c r="F210" s="720"/>
      <c r="G210" s="24">
        <f t="shared" si="35"/>
        <v>0.01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v>
      </c>
      <c r="F211" s="720"/>
      <c r="G211" s="24">
        <f t="shared" si="35"/>
        <v>0.01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v>
      </c>
      <c r="F212" s="720"/>
      <c r="G212" s="24">
        <f t="shared" si="35"/>
        <v>0.01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v>
      </c>
      <c r="F213" s="720"/>
      <c r="G213" s="24">
        <f t="shared" si="35"/>
        <v>0.01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v>
      </c>
      <c r="F214" s="720"/>
      <c r="G214" s="24">
        <f t="shared" si="35"/>
        <v>0.01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v>
      </c>
      <c r="F215" s="720"/>
      <c r="G215" s="24">
        <f t="shared" si="35"/>
        <v>0.01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v>
      </c>
      <c r="F216" s="720"/>
      <c r="G216" s="24">
        <f t="shared" si="35"/>
        <v>0.01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v>
      </c>
      <c r="F217" s="720"/>
      <c r="G217" s="24">
        <f t="shared" si="35"/>
        <v>0.01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v>
      </c>
      <c r="F220" s="720"/>
      <c r="G220" s="24">
        <f t="shared" si="45"/>
        <v>0.01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v>
      </c>
      <c r="F221" s="720"/>
      <c r="G221" s="24">
        <f t="shared" si="45"/>
        <v>0.01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v>
      </c>
      <c r="F222" s="720"/>
      <c r="G222" s="24">
        <f t="shared" si="45"/>
        <v>0.01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v>
      </c>
      <c r="F223" s="720"/>
      <c r="G223" s="24">
        <f t="shared" si="45"/>
        <v>0.01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v>
      </c>
      <c r="F224" s="720"/>
      <c r="G224" s="24">
        <f t="shared" si="45"/>
        <v>0.01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v>
      </c>
      <c r="F225" s="720"/>
      <c r="G225" s="24">
        <f t="shared" si="45"/>
        <v>0.01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v>
      </c>
      <c r="F226" s="720"/>
      <c r="G226" s="24">
        <f t="shared" si="45"/>
        <v>0.01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v>
      </c>
      <c r="F227" s="720"/>
      <c r="G227" s="24">
        <f t="shared" si="45"/>
        <v>0.01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v>
      </c>
      <c r="F228" s="720"/>
      <c r="G228" s="24">
        <f t="shared" si="45"/>
        <v>0.01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v>
      </c>
      <c r="F229" s="720"/>
      <c r="G229" s="24">
        <f t="shared" si="45"/>
        <v>0.01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v>
      </c>
      <c r="F230" s="720"/>
      <c r="G230" s="24">
        <f t="shared" si="45"/>
        <v>0.01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v>
      </c>
      <c r="F231" s="720"/>
      <c r="G231" s="24">
        <f t="shared" si="45"/>
        <v>0.01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v>
      </c>
      <c r="F232" s="720"/>
      <c r="G232" s="24">
        <f t="shared" si="45"/>
        <v>0.01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v>
      </c>
      <c r="F233" s="720"/>
      <c r="G233" s="24">
        <f t="shared" si="45"/>
        <v>0.01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v>
      </c>
      <c r="F234" s="720"/>
      <c r="G234" s="24">
        <f t="shared" si="45"/>
        <v>0.01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v>
      </c>
      <c r="F235" s="720"/>
      <c r="G235" s="24">
        <f t="shared" si="45"/>
        <v>0.01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v>
      </c>
      <c r="F236" s="720"/>
      <c r="G236" s="24">
        <f t="shared" si="45"/>
        <v>0.01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v>
      </c>
      <c r="F237" s="720"/>
      <c r="G237" s="24">
        <f t="shared" si="45"/>
        <v>0.01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v>
      </c>
      <c r="F238" s="720"/>
      <c r="G238" s="24">
        <f t="shared" si="45"/>
        <v>0.01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v>
      </c>
      <c r="F239" s="720"/>
      <c r="G239" s="24">
        <f t="shared" si="45"/>
        <v>0.01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v>
      </c>
      <c r="F240" s="720"/>
      <c r="G240" s="24">
        <f t="shared" si="45"/>
        <v>0.01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v>
      </c>
      <c r="F241" s="720"/>
      <c r="G241" s="24">
        <f t="shared" si="45"/>
        <v>0.01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v>
      </c>
      <c r="F242" s="720"/>
      <c r="G242" s="24">
        <f t="shared" si="45"/>
        <v>0.01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v>
      </c>
      <c r="F243" s="720"/>
      <c r="G243" s="24">
        <f t="shared" si="45"/>
        <v>0.01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v>
      </c>
      <c r="F244" s="720"/>
      <c r="G244" s="24">
        <f t="shared" si="45"/>
        <v>0.01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v>
      </c>
      <c r="F245" s="720"/>
      <c r="G245" s="24">
        <f t="shared" si="45"/>
        <v>0.01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v>
      </c>
      <c r="F246" s="720"/>
      <c r="G246" s="24">
        <f t="shared" si="45"/>
        <v>0.01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v>
      </c>
      <c r="F247" s="720"/>
      <c r="G247" s="24">
        <f t="shared" si="45"/>
        <v>0.01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v>
      </c>
      <c r="F248" s="720"/>
      <c r="G248" s="24">
        <f t="shared" si="45"/>
        <v>0.01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v>
      </c>
      <c r="F249" s="720"/>
      <c r="G249" s="24">
        <f t="shared" si="45"/>
        <v>0.01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v>
      </c>
      <c r="F250" s="720"/>
      <c r="G250" s="24">
        <f t="shared" si="45"/>
        <v>0.01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v>
      </c>
      <c r="F251" s="720"/>
      <c r="G251" s="24">
        <f t="shared" si="45"/>
        <v>0.01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v>
      </c>
      <c r="F252" s="720"/>
      <c r="G252" s="24">
        <f t="shared" si="45"/>
        <v>0.01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v>
      </c>
      <c r="F253" s="720"/>
      <c r="G253" s="24">
        <f t="shared" si="45"/>
        <v>0.01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v>
      </c>
      <c r="F254" s="720"/>
      <c r="G254" s="24">
        <f t="shared" si="45"/>
        <v>0.01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v>
      </c>
      <c r="F255" s="720"/>
      <c r="G255" s="24">
        <f t="shared" si="45"/>
        <v>0.01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v>
      </c>
      <c r="F256" s="720"/>
      <c r="G256" s="24">
        <f t="shared" si="45"/>
        <v>0.01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v>
      </c>
      <c r="F257" s="720"/>
      <c r="G257" s="24">
        <f t="shared" si="45"/>
        <v>0.01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v>
      </c>
      <c r="F258" s="720"/>
      <c r="G258" s="24">
        <f t="shared" si="45"/>
        <v>0.01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v>
      </c>
      <c r="F259" s="720"/>
      <c r="G259" s="24">
        <f t="shared" si="45"/>
        <v>0.01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v>
      </c>
      <c r="F260" s="720"/>
      <c r="G260" s="24">
        <f t="shared" si="45"/>
        <v>0.01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v>
      </c>
      <c r="F261" s="720"/>
      <c r="G261" s="24">
        <f t="shared" si="45"/>
        <v>0.01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v>
      </c>
      <c r="F262" s="720"/>
      <c r="G262" s="24">
        <f t="shared" si="45"/>
        <v>0.01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v>
      </c>
      <c r="F263" s="720"/>
      <c r="G263" s="24">
        <f t="shared" si="45"/>
        <v>0.01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v>
      </c>
      <c r="F264" s="720"/>
      <c r="G264" s="24">
        <f t="shared" si="45"/>
        <v>0.01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v>
      </c>
      <c r="F265" s="720"/>
      <c r="G265" s="24">
        <f t="shared" si="45"/>
        <v>0.01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v>
      </c>
      <c r="F266" s="720"/>
      <c r="G266" s="24">
        <f t="shared" si="45"/>
        <v>0.01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v>
      </c>
      <c r="F267" s="720"/>
      <c r="G267" s="24">
        <f t="shared" si="45"/>
        <v>0.01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v>
      </c>
      <c r="F268" s="720"/>
      <c r="G268" s="24">
        <f t="shared" si="45"/>
        <v>0.01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v>
      </c>
      <c r="F269" s="720"/>
      <c r="G269" s="24">
        <f t="shared" si="45"/>
        <v>0.01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v>
      </c>
      <c r="F270" s="720"/>
      <c r="G270" s="24">
        <f t="shared" si="45"/>
        <v>0.01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v>
      </c>
      <c r="F271" s="720"/>
      <c r="G271" s="24">
        <f t="shared" si="45"/>
        <v>0.01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v>
      </c>
      <c r="F272" s="720"/>
      <c r="G272" s="24">
        <f t="shared" si="45"/>
        <v>0.01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v>
      </c>
      <c r="F273" s="720"/>
      <c r="G273" s="24">
        <f t="shared" si="45"/>
        <v>0.01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v>
      </c>
      <c r="F274" s="720"/>
      <c r="G274" s="24">
        <f t="shared" si="45"/>
        <v>0.01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v>
      </c>
      <c r="F275" s="720"/>
      <c r="G275" s="24">
        <f t="shared" si="45"/>
        <v>0.01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v>
      </c>
      <c r="F276" s="720"/>
      <c r="G276" s="24">
        <f t="shared" si="45"/>
        <v>0.01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v>
      </c>
      <c r="F277" s="720"/>
      <c r="G277" s="24">
        <f t="shared" si="45"/>
        <v>0.01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v>
      </c>
      <c r="F278" s="720"/>
      <c r="G278" s="24">
        <f t="shared" si="45"/>
        <v>0.01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v>
      </c>
      <c r="F279" s="720"/>
      <c r="G279" s="24">
        <f t="shared" si="45"/>
        <v>0.01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v>
      </c>
      <c r="F280" s="720"/>
      <c r="G280" s="24">
        <f t="shared" si="45"/>
        <v>0.01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v>
      </c>
      <c r="F281" s="720"/>
      <c r="G281" s="24">
        <f t="shared" si="45"/>
        <v>0.01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v>
      </c>
      <c r="F284" s="720"/>
      <c r="G284" s="24">
        <f t="shared" si="55"/>
        <v>0.01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v>
      </c>
      <c r="F285" s="720"/>
      <c r="G285" s="24">
        <f t="shared" si="55"/>
        <v>0.01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v>
      </c>
      <c r="F286" s="720"/>
      <c r="G286" s="24">
        <f t="shared" si="55"/>
        <v>0.01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v>
      </c>
      <c r="F287" s="720"/>
      <c r="G287" s="24">
        <f t="shared" si="55"/>
        <v>0.01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v>
      </c>
      <c r="F288" s="720"/>
      <c r="G288" s="24">
        <f t="shared" si="55"/>
        <v>0.01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v>
      </c>
      <c r="F289" s="720"/>
      <c r="G289" s="24">
        <f t="shared" si="55"/>
        <v>0.01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v>
      </c>
      <c r="F290" s="720"/>
      <c r="G290" s="24">
        <f t="shared" si="55"/>
        <v>0.01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v>
      </c>
      <c r="F291" s="720"/>
      <c r="G291" s="24">
        <f t="shared" si="55"/>
        <v>0.01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v>
      </c>
      <c r="F292" s="720"/>
      <c r="G292" s="24">
        <f t="shared" si="55"/>
        <v>0.01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v>
      </c>
      <c r="F293" s="720"/>
      <c r="G293" s="24">
        <f t="shared" si="55"/>
        <v>0.01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v>
      </c>
      <c r="F294" s="720"/>
      <c r="G294" s="24">
        <f t="shared" si="55"/>
        <v>0.01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v>
      </c>
      <c r="F295" s="720"/>
      <c r="G295" s="24">
        <f t="shared" si="55"/>
        <v>0.01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v>
      </c>
      <c r="F296" s="720"/>
      <c r="G296" s="24">
        <f t="shared" si="55"/>
        <v>0.01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v>
      </c>
      <c r="F297" s="720"/>
      <c r="G297" s="24">
        <f t="shared" si="55"/>
        <v>0.01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v>
      </c>
      <c r="F298" s="720"/>
      <c r="G298" s="24">
        <f t="shared" si="55"/>
        <v>0.01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v>
      </c>
      <c r="F299" s="720"/>
      <c r="G299" s="24">
        <f t="shared" si="55"/>
        <v>0.01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v>
      </c>
      <c r="F300" s="720"/>
      <c r="G300" s="24">
        <f t="shared" si="55"/>
        <v>0.01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v>
      </c>
      <c r="F301" s="720"/>
      <c r="G301" s="24">
        <f t="shared" si="55"/>
        <v>0.01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v>
      </c>
      <c r="F302" s="720"/>
      <c r="G302" s="24">
        <f t="shared" si="55"/>
        <v>0.01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v>
      </c>
      <c r="F303" s="720"/>
      <c r="G303" s="24">
        <f t="shared" si="55"/>
        <v>0.01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v>
      </c>
      <c r="F304" s="720"/>
      <c r="G304" s="24">
        <f t="shared" si="55"/>
        <v>0.01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v>
      </c>
      <c r="F305" s="720"/>
      <c r="G305" s="24">
        <f t="shared" si="55"/>
        <v>0.01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v>
      </c>
      <c r="F306" s="720"/>
      <c r="G306" s="24">
        <f t="shared" si="55"/>
        <v>0.01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v>
      </c>
      <c r="F307" s="720"/>
      <c r="G307" s="24">
        <f t="shared" si="55"/>
        <v>0.01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v>
      </c>
      <c r="F308" s="720"/>
      <c r="G308" s="24">
        <f t="shared" si="55"/>
        <v>0.01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v>
      </c>
      <c r="F309" s="720"/>
      <c r="G309" s="24">
        <f t="shared" si="55"/>
        <v>0.01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v>
      </c>
      <c r="F310" s="720"/>
      <c r="G310" s="24">
        <f t="shared" si="55"/>
        <v>0.01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v>
      </c>
      <c r="F311" s="720"/>
      <c r="G311" s="24">
        <f t="shared" si="55"/>
        <v>0.01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v>
      </c>
      <c r="F312" s="720"/>
      <c r="G312" s="24">
        <f t="shared" si="55"/>
        <v>0.01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v>
      </c>
      <c r="F313" s="720"/>
      <c r="G313" s="24">
        <f t="shared" si="55"/>
        <v>0.01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v>
      </c>
      <c r="F314" s="720"/>
      <c r="G314" s="24">
        <f t="shared" si="55"/>
        <v>0.01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v>
      </c>
      <c r="F315" s="720"/>
      <c r="G315" s="24">
        <f t="shared" si="55"/>
        <v>0.01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v>
      </c>
      <c r="F316" s="720"/>
      <c r="G316" s="24">
        <f t="shared" si="55"/>
        <v>0.01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v>
      </c>
      <c r="F317" s="720"/>
      <c r="G317" s="24">
        <f t="shared" si="55"/>
        <v>0.01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v>
      </c>
      <c r="F318" s="720"/>
      <c r="G318" s="24">
        <f t="shared" si="55"/>
        <v>0.01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v>
      </c>
      <c r="F319" s="720"/>
      <c r="G319" s="24">
        <f t="shared" si="55"/>
        <v>0.01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v>
      </c>
      <c r="F320" s="720"/>
      <c r="G320" s="24">
        <f t="shared" si="55"/>
        <v>0.01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v>
      </c>
      <c r="F321" s="720"/>
      <c r="G321" s="24">
        <f t="shared" si="55"/>
        <v>0.01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v>
      </c>
      <c r="F322" s="720"/>
      <c r="G322" s="24">
        <f t="shared" si="55"/>
        <v>0.01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v>
      </c>
      <c r="F323" s="720"/>
      <c r="G323" s="24">
        <f t="shared" si="55"/>
        <v>0.01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v>
      </c>
      <c r="F324" s="720"/>
      <c r="G324" s="24">
        <f t="shared" si="55"/>
        <v>0.01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v>
      </c>
      <c r="F325" s="720"/>
      <c r="G325" s="24">
        <f t="shared" si="55"/>
        <v>0.01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v>
      </c>
      <c r="F326" s="720"/>
      <c r="G326" s="24">
        <f t="shared" si="55"/>
        <v>0.01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v>
      </c>
      <c r="F327" s="720"/>
      <c r="G327" s="24">
        <f t="shared" si="55"/>
        <v>0.01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v>
      </c>
      <c r="F328" s="720"/>
      <c r="G328" s="24">
        <f t="shared" si="55"/>
        <v>0.01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v>
      </c>
      <c r="F329" s="720"/>
      <c r="G329" s="24">
        <f t="shared" si="55"/>
        <v>0.01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v>
      </c>
      <c r="F330" s="720"/>
      <c r="G330" s="24">
        <f t="shared" si="55"/>
        <v>0.01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v>
      </c>
      <c r="F331" s="720"/>
      <c r="G331" s="24">
        <f t="shared" si="55"/>
        <v>0.01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v>
      </c>
      <c r="F332" s="720"/>
      <c r="G332" s="24">
        <f t="shared" si="55"/>
        <v>0.01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v>
      </c>
      <c r="F333" s="720"/>
      <c r="G333" s="24">
        <f t="shared" si="55"/>
        <v>0.01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v>
      </c>
      <c r="F334" s="720"/>
      <c r="G334" s="24">
        <f t="shared" si="55"/>
        <v>0.01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v>
      </c>
      <c r="F335" s="720"/>
      <c r="G335" s="24">
        <f t="shared" si="55"/>
        <v>0.01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v>
      </c>
      <c r="F336" s="720"/>
      <c r="G336" s="24">
        <f t="shared" si="55"/>
        <v>0.01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v>
      </c>
      <c r="F337" s="720"/>
      <c r="G337" s="24">
        <f t="shared" si="55"/>
        <v>0.01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v>
      </c>
      <c r="F338" s="720"/>
      <c r="G338" s="24">
        <f t="shared" si="55"/>
        <v>0.01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v>
      </c>
      <c r="F339" s="720"/>
      <c r="G339" s="24">
        <f t="shared" si="55"/>
        <v>0.01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v>
      </c>
      <c r="F340" s="720"/>
      <c r="G340" s="24">
        <f t="shared" si="55"/>
        <v>0.01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v>
      </c>
      <c r="F341" s="720"/>
      <c r="G341" s="24">
        <f t="shared" si="55"/>
        <v>0.01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v>
      </c>
      <c r="F342" s="720"/>
      <c r="G342" s="24">
        <f t="shared" si="55"/>
        <v>0.01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v>
      </c>
      <c r="F343" s="720"/>
      <c r="G343" s="24">
        <f t="shared" si="55"/>
        <v>0.01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v>
      </c>
      <c r="F344" s="720"/>
      <c r="G344" s="24">
        <f t="shared" si="55"/>
        <v>0.01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v>
      </c>
      <c r="F345" s="720"/>
      <c r="G345" s="24">
        <f t="shared" si="55"/>
        <v>0.01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v>
      </c>
      <c r="F348" s="720"/>
      <c r="G348" s="24">
        <f t="shared" si="66"/>
        <v>0.01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v>
      </c>
      <c r="F349" s="720"/>
      <c r="G349" s="24">
        <f t="shared" si="66"/>
        <v>0.01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v>
      </c>
      <c r="F350" s="720"/>
      <c r="G350" s="24">
        <f t="shared" si="66"/>
        <v>0.01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v>
      </c>
      <c r="F351" s="720"/>
      <c r="G351" s="24">
        <f t="shared" si="66"/>
        <v>0.01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v>
      </c>
      <c r="F352" s="720"/>
      <c r="G352" s="24">
        <f t="shared" si="66"/>
        <v>0.01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v>
      </c>
      <c r="F353" s="720"/>
      <c r="G353" s="24">
        <f t="shared" si="66"/>
        <v>0.01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v>
      </c>
      <c r="F354" s="720"/>
      <c r="G354" s="24">
        <f t="shared" si="66"/>
        <v>0.01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v>
      </c>
      <c r="F355" s="720"/>
      <c r="G355" s="24">
        <f t="shared" si="66"/>
        <v>0.01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v>
      </c>
      <c r="F356" s="720"/>
      <c r="G356" s="24">
        <f t="shared" si="66"/>
        <v>0.01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v>
      </c>
      <c r="F357" s="720"/>
      <c r="G357" s="24">
        <f t="shared" si="66"/>
        <v>0.01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v>
      </c>
      <c r="F358" s="720"/>
      <c r="G358" s="24">
        <f t="shared" si="66"/>
        <v>0.01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v>
      </c>
      <c r="F359" s="720"/>
      <c r="G359" s="24">
        <f t="shared" si="66"/>
        <v>0.01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v>
      </c>
      <c r="F360" s="720"/>
      <c r="G360" s="24">
        <f t="shared" si="66"/>
        <v>0.01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v>
      </c>
      <c r="F361" s="720"/>
      <c r="G361" s="24">
        <f t="shared" si="66"/>
        <v>0.01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v>
      </c>
      <c r="F362" s="720"/>
      <c r="G362" s="24">
        <f t="shared" si="66"/>
        <v>0.01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v>
      </c>
      <c r="F363" s="720"/>
      <c r="G363" s="24">
        <f t="shared" si="66"/>
        <v>0.01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v>
      </c>
      <c r="F364" s="720"/>
      <c r="G364" s="24">
        <f t="shared" si="66"/>
        <v>0.01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v>
      </c>
      <c r="F365" s="720"/>
      <c r="G365" s="24">
        <f t="shared" si="66"/>
        <v>0.01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v>
      </c>
      <c r="F366" s="720"/>
      <c r="G366" s="24">
        <f t="shared" si="66"/>
        <v>0.01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v>
      </c>
      <c r="F367" s="720"/>
      <c r="G367" s="24">
        <f t="shared" si="66"/>
        <v>0.01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v>
      </c>
      <c r="F368" s="720"/>
      <c r="G368" s="24">
        <f t="shared" si="66"/>
        <v>0.01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v>
      </c>
      <c r="F369" s="720"/>
      <c r="G369" s="24">
        <f t="shared" si="66"/>
        <v>0.01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v>
      </c>
      <c r="F370" s="720"/>
      <c r="G370" s="24">
        <f t="shared" si="66"/>
        <v>0.01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v>
      </c>
      <c r="F371" s="720"/>
      <c r="G371" s="24">
        <f t="shared" si="66"/>
        <v>0.01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v>
      </c>
      <c r="F372" s="720"/>
      <c r="G372" s="24">
        <f t="shared" si="66"/>
        <v>0.01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v>
      </c>
      <c r="F373" s="720"/>
      <c r="G373" s="24">
        <f t="shared" si="66"/>
        <v>0.01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v>
      </c>
      <c r="F374" s="720"/>
      <c r="G374" s="24">
        <f t="shared" si="66"/>
        <v>0.01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v>
      </c>
      <c r="F375" s="720"/>
      <c r="G375" s="24">
        <f t="shared" si="66"/>
        <v>0.01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v>
      </c>
      <c r="F376" s="720"/>
      <c r="G376" s="24">
        <f t="shared" si="66"/>
        <v>0.01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v>
      </c>
      <c r="F377" s="720"/>
      <c r="G377" s="24">
        <f t="shared" si="66"/>
        <v>0.01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v>
      </c>
      <c r="F378" s="720"/>
      <c r="G378" s="24">
        <f t="shared" si="66"/>
        <v>0.01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v>
      </c>
      <c r="F379" s="720"/>
      <c r="G379" s="24">
        <f t="shared" si="66"/>
        <v>0.01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v>
      </c>
      <c r="F380" s="720"/>
      <c r="G380" s="24">
        <f t="shared" si="66"/>
        <v>0.01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v>
      </c>
      <c r="F381" s="720"/>
      <c r="G381" s="24">
        <f t="shared" si="66"/>
        <v>0.01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v>
      </c>
      <c r="F382" s="720"/>
      <c r="G382" s="24">
        <f t="shared" si="66"/>
        <v>0.01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v>
      </c>
      <c r="F383" s="720"/>
      <c r="G383" s="24">
        <f t="shared" si="66"/>
        <v>0.01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v>
      </c>
      <c r="F384" s="720"/>
      <c r="G384" s="24">
        <f t="shared" si="66"/>
        <v>0.01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v>
      </c>
      <c r="F385" s="720"/>
      <c r="G385" s="24">
        <f t="shared" si="66"/>
        <v>0.01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v>
      </c>
      <c r="F386" s="720"/>
      <c r="G386" s="24">
        <f t="shared" si="66"/>
        <v>0.01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v>
      </c>
      <c r="F387" s="720"/>
      <c r="G387" s="24">
        <f t="shared" si="66"/>
        <v>0.01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v>
      </c>
      <c r="F388" s="720"/>
      <c r="G388" s="24">
        <f t="shared" si="66"/>
        <v>0.01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v>
      </c>
      <c r="F389" s="720"/>
      <c r="G389" s="24">
        <f t="shared" si="66"/>
        <v>0.01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v>
      </c>
      <c r="F390" s="720"/>
      <c r="G390" s="24">
        <f t="shared" si="66"/>
        <v>0.01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v>
      </c>
      <c r="F391" s="720"/>
      <c r="G391" s="24">
        <f t="shared" si="66"/>
        <v>0.01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v>
      </c>
      <c r="F392" s="720"/>
      <c r="G392" s="24">
        <f t="shared" si="66"/>
        <v>0.01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v>
      </c>
      <c r="F393" s="720"/>
      <c r="G393" s="24">
        <f t="shared" si="66"/>
        <v>0.01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v>
      </c>
      <c r="F394" s="720"/>
      <c r="G394" s="24">
        <f t="shared" si="66"/>
        <v>0.01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v>
      </c>
      <c r="F395" s="720"/>
      <c r="G395" s="24">
        <f t="shared" si="66"/>
        <v>0.01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v>
      </c>
      <c r="F396" s="720"/>
      <c r="G396" s="24">
        <f t="shared" si="66"/>
        <v>0.01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v>
      </c>
      <c r="F397" s="720"/>
      <c r="G397" s="24">
        <f t="shared" si="66"/>
        <v>0.01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v>
      </c>
      <c r="F398" s="720"/>
      <c r="G398" s="24">
        <f t="shared" si="66"/>
        <v>0.01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v>
      </c>
      <c r="F399" s="720"/>
      <c r="G399" s="24">
        <f t="shared" si="66"/>
        <v>0.01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v>
      </c>
      <c r="F400" s="720"/>
      <c r="G400" s="24">
        <f t="shared" si="66"/>
        <v>0.01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v>
      </c>
      <c r="F401" s="720"/>
      <c r="G401" s="24">
        <f t="shared" si="66"/>
        <v>0.01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v>
      </c>
      <c r="F402" s="720"/>
      <c r="G402" s="24">
        <f t="shared" si="66"/>
        <v>0.01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v>
      </c>
      <c r="F403" s="720"/>
      <c r="G403" s="24">
        <f t="shared" si="66"/>
        <v>0.01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v>
      </c>
      <c r="F404" s="720"/>
      <c r="G404" s="24">
        <f t="shared" si="66"/>
        <v>0.01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v>
      </c>
      <c r="F405" s="720"/>
      <c r="G405" s="24">
        <f t="shared" si="66"/>
        <v>0.01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v>
      </c>
      <c r="F406" s="720"/>
      <c r="G406" s="24">
        <f t="shared" si="66"/>
        <v>0.01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v>
      </c>
      <c r="F407" s="720"/>
      <c r="G407" s="24">
        <f t="shared" si="66"/>
        <v>0.01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v>
      </c>
      <c r="F408" s="720"/>
      <c r="G408" s="24">
        <f t="shared" si="66"/>
        <v>0.01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v>
      </c>
      <c r="F409" s="720"/>
      <c r="G409" s="24">
        <f t="shared" si="66"/>
        <v>0.01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v>
      </c>
      <c r="F412" s="720"/>
      <c r="G412" s="24">
        <f t="shared" si="76"/>
        <v>0.01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v>
      </c>
      <c r="F413" s="720"/>
      <c r="G413" s="24">
        <f t="shared" si="76"/>
        <v>0.01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v>
      </c>
      <c r="F414" s="720"/>
      <c r="G414" s="24">
        <f t="shared" si="76"/>
        <v>0.01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v>
      </c>
      <c r="F415" s="720"/>
      <c r="G415" s="24">
        <f t="shared" si="76"/>
        <v>0.01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v>
      </c>
      <c r="F416" s="720"/>
      <c r="G416" s="24">
        <f t="shared" si="76"/>
        <v>0.01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v>
      </c>
      <c r="F417" s="720"/>
      <c r="G417" s="24">
        <f t="shared" si="76"/>
        <v>0.01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v>
      </c>
      <c r="F418" s="720"/>
      <c r="G418" s="24">
        <f t="shared" si="76"/>
        <v>0.01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v>
      </c>
      <c r="F419" s="720"/>
      <c r="G419" s="24">
        <f t="shared" si="76"/>
        <v>0.01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v>
      </c>
      <c r="F420" s="720"/>
      <c r="G420" s="24">
        <f t="shared" si="76"/>
        <v>0.01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v>
      </c>
      <c r="F421" s="720"/>
      <c r="G421" s="24">
        <f t="shared" si="76"/>
        <v>0.01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v>
      </c>
      <c r="F422" s="720"/>
      <c r="G422" s="24">
        <f t="shared" si="76"/>
        <v>0.01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v>
      </c>
      <c r="F423" s="720"/>
      <c r="G423" s="24">
        <f t="shared" si="76"/>
        <v>0.01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v>
      </c>
      <c r="F424" s="720"/>
      <c r="G424" s="24">
        <f t="shared" si="76"/>
        <v>0.01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v>
      </c>
      <c r="F425" s="720"/>
      <c r="G425" s="24">
        <f t="shared" si="76"/>
        <v>0.01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v>
      </c>
      <c r="F426" s="720"/>
      <c r="G426" s="24">
        <f t="shared" si="76"/>
        <v>0.01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v>
      </c>
      <c r="F427" s="720"/>
      <c r="G427" s="24">
        <f t="shared" si="76"/>
        <v>0.01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v>
      </c>
      <c r="F428" s="720"/>
      <c r="G428" s="24">
        <f t="shared" si="76"/>
        <v>0.01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v>
      </c>
      <c r="F429" s="720"/>
      <c r="G429" s="24">
        <f t="shared" si="76"/>
        <v>0.01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v>
      </c>
      <c r="F430" s="720"/>
      <c r="G430" s="24">
        <f t="shared" si="76"/>
        <v>0.01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v>
      </c>
      <c r="F431" s="720"/>
      <c r="G431" s="24">
        <f t="shared" si="76"/>
        <v>0.01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v>
      </c>
      <c r="F432" s="720"/>
      <c r="G432" s="24">
        <f t="shared" si="76"/>
        <v>0.01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v>
      </c>
      <c r="F433" s="720"/>
      <c r="G433" s="24">
        <f t="shared" si="76"/>
        <v>0.01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v>
      </c>
      <c r="F434" s="720"/>
      <c r="G434" s="24">
        <f t="shared" si="76"/>
        <v>0.01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v>
      </c>
      <c r="F435" s="720"/>
      <c r="G435" s="24">
        <f t="shared" si="76"/>
        <v>0.01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v>
      </c>
      <c r="F436" s="720"/>
      <c r="G436" s="24">
        <f t="shared" si="76"/>
        <v>0.01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v>
      </c>
      <c r="F437" s="720"/>
      <c r="G437" s="24">
        <f t="shared" si="76"/>
        <v>0.01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v>
      </c>
      <c r="F438" s="720"/>
      <c r="G438" s="24">
        <f t="shared" si="76"/>
        <v>0.01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v>
      </c>
      <c r="F439" s="720"/>
      <c r="G439" s="24">
        <f t="shared" si="76"/>
        <v>0.01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v>
      </c>
      <c r="F440" s="720"/>
      <c r="G440" s="24">
        <f t="shared" si="76"/>
        <v>0.01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v>
      </c>
      <c r="F441" s="720"/>
      <c r="G441" s="24">
        <f t="shared" si="76"/>
        <v>0.01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v>
      </c>
      <c r="F442" s="720"/>
      <c r="G442" s="24">
        <f t="shared" si="76"/>
        <v>0.01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v>
      </c>
      <c r="F443" s="720"/>
      <c r="G443" s="24">
        <f t="shared" si="76"/>
        <v>0.01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v>
      </c>
      <c r="F444" s="720"/>
      <c r="G444" s="24">
        <f t="shared" si="76"/>
        <v>0.01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v>
      </c>
      <c r="F445" s="720"/>
      <c r="G445" s="24">
        <f t="shared" si="76"/>
        <v>0.01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v>
      </c>
      <c r="F446" s="720"/>
      <c r="G446" s="24">
        <f t="shared" si="76"/>
        <v>0.01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v>
      </c>
      <c r="F447" s="720"/>
      <c r="G447" s="24">
        <f t="shared" si="76"/>
        <v>0.01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v>
      </c>
      <c r="F448" s="720"/>
      <c r="G448" s="24">
        <f t="shared" si="76"/>
        <v>0.01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v>
      </c>
      <c r="F449" s="720"/>
      <c r="G449" s="24">
        <f t="shared" si="76"/>
        <v>0.01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v>
      </c>
      <c r="F450" s="720"/>
      <c r="G450" s="24">
        <f t="shared" si="76"/>
        <v>0.01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v>
      </c>
      <c r="F451" s="720"/>
      <c r="G451" s="24">
        <f t="shared" si="76"/>
        <v>0.01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v>
      </c>
      <c r="F452" s="720"/>
      <c r="G452" s="24">
        <f t="shared" si="76"/>
        <v>0.01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v>
      </c>
      <c r="F453" s="720"/>
      <c r="G453" s="24">
        <f t="shared" si="76"/>
        <v>0.01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v>
      </c>
      <c r="F454" s="720"/>
      <c r="G454" s="24">
        <f t="shared" si="76"/>
        <v>0.01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v>
      </c>
      <c r="F455" s="720"/>
      <c r="G455" s="24">
        <f t="shared" si="76"/>
        <v>0.01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v>
      </c>
      <c r="F456" s="720"/>
      <c r="G456" s="24">
        <f t="shared" si="76"/>
        <v>0.01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v>
      </c>
      <c r="F457" s="720"/>
      <c r="G457" s="24">
        <f t="shared" si="76"/>
        <v>0.01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v>
      </c>
      <c r="F458" s="720"/>
      <c r="G458" s="24">
        <f t="shared" si="76"/>
        <v>0.01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v>
      </c>
      <c r="F459" s="720"/>
      <c r="G459" s="24">
        <f t="shared" si="76"/>
        <v>0.01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v>
      </c>
      <c r="F460" s="720"/>
      <c r="G460" s="24">
        <f t="shared" si="76"/>
        <v>0.01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v>
      </c>
      <c r="F461" s="720"/>
      <c r="G461" s="24">
        <f t="shared" si="76"/>
        <v>0.01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v>
      </c>
      <c r="F462" s="720"/>
      <c r="G462" s="24">
        <f t="shared" si="76"/>
        <v>0.01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v>
      </c>
      <c r="F463" s="720"/>
      <c r="G463" s="24">
        <f t="shared" si="76"/>
        <v>0.01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v>
      </c>
      <c r="F464" s="720"/>
      <c r="G464" s="24">
        <f t="shared" si="76"/>
        <v>0.01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v>
      </c>
      <c r="F465" s="720"/>
      <c r="G465" s="24">
        <f t="shared" si="76"/>
        <v>0.01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v>
      </c>
      <c r="F466" s="720"/>
      <c r="G466" s="24">
        <f t="shared" si="76"/>
        <v>0.01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v>
      </c>
      <c r="F467" s="720"/>
      <c r="G467" s="24">
        <f t="shared" si="76"/>
        <v>0.01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v>
      </c>
      <c r="F468" s="720"/>
      <c r="G468" s="24">
        <f t="shared" si="76"/>
        <v>0.01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v>
      </c>
      <c r="F469" s="720"/>
      <c r="G469" s="24">
        <f t="shared" si="76"/>
        <v>0.01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v>
      </c>
      <c r="F470" s="720"/>
      <c r="G470" s="24">
        <f t="shared" si="76"/>
        <v>0.01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v>
      </c>
      <c r="F471" s="720"/>
      <c r="G471" s="24">
        <f t="shared" si="76"/>
        <v>0.01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v>
      </c>
      <c r="F472" s="720"/>
      <c r="G472" s="24">
        <f t="shared" si="76"/>
        <v>0.01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v>
      </c>
      <c r="F473" s="720"/>
      <c r="G473" s="24">
        <f t="shared" si="76"/>
        <v>0.01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v>
      </c>
      <c r="F476" s="720"/>
      <c r="G476" s="24">
        <f t="shared" si="87"/>
        <v>0.01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v>
      </c>
      <c r="F477" s="720"/>
      <c r="G477" s="24">
        <f t="shared" si="87"/>
        <v>0.01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v>
      </c>
      <c r="F478" s="720"/>
      <c r="G478" s="24">
        <f t="shared" si="87"/>
        <v>0.01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v>
      </c>
      <c r="F479" s="720"/>
      <c r="G479" s="24">
        <f t="shared" si="87"/>
        <v>0.01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v>
      </c>
      <c r="F480" s="720"/>
      <c r="G480" s="24">
        <f t="shared" si="87"/>
        <v>0.01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v>
      </c>
      <c r="F481" s="720"/>
      <c r="G481" s="24">
        <f t="shared" si="87"/>
        <v>0.01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v>
      </c>
      <c r="F482" s="720"/>
      <c r="G482" s="24">
        <f t="shared" si="87"/>
        <v>0.01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v>
      </c>
      <c r="F483" s="720"/>
      <c r="G483" s="24">
        <f t="shared" si="87"/>
        <v>0.01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v>
      </c>
      <c r="F484" s="720"/>
      <c r="G484" s="24">
        <f t="shared" si="87"/>
        <v>0.01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v>
      </c>
      <c r="F485" s="720"/>
      <c r="G485" s="24">
        <f t="shared" si="87"/>
        <v>0.01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v>
      </c>
      <c r="F486" s="720"/>
      <c r="G486" s="24">
        <f t="shared" si="87"/>
        <v>0.01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v>
      </c>
      <c r="F487" s="720"/>
      <c r="G487" s="24">
        <f t="shared" si="87"/>
        <v>0.01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v>
      </c>
      <c r="F488" s="720"/>
      <c r="G488" s="24">
        <f t="shared" si="87"/>
        <v>0.01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v>
      </c>
      <c r="F489" s="720"/>
      <c r="G489" s="24">
        <f t="shared" si="87"/>
        <v>0.01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v>
      </c>
      <c r="F490" s="720"/>
      <c r="G490" s="24">
        <f t="shared" si="87"/>
        <v>0.01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v>
      </c>
      <c r="F491" s="720"/>
      <c r="G491" s="24">
        <f t="shared" si="87"/>
        <v>0.01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v>
      </c>
      <c r="F492" s="720"/>
      <c r="G492" s="24">
        <f t="shared" si="87"/>
        <v>0.01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v>
      </c>
      <c r="F493" s="720"/>
      <c r="G493" s="24">
        <f t="shared" si="87"/>
        <v>0.01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v>
      </c>
      <c r="F494" s="720"/>
      <c r="G494" s="24">
        <f t="shared" si="87"/>
        <v>0.01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v>
      </c>
      <c r="F495" s="720"/>
      <c r="G495" s="24">
        <f t="shared" si="87"/>
        <v>0.01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v>
      </c>
      <c r="F496" s="720"/>
      <c r="G496" s="24">
        <f t="shared" si="87"/>
        <v>0.01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v>
      </c>
      <c r="F497" s="720"/>
      <c r="G497" s="24">
        <f t="shared" si="87"/>
        <v>0.01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v>
      </c>
      <c r="F498" s="720"/>
      <c r="G498" s="24">
        <f t="shared" si="87"/>
        <v>0.01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v>
      </c>
      <c r="F499" s="720"/>
      <c r="G499" s="24">
        <f t="shared" si="87"/>
        <v>0.01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v>
      </c>
      <c r="F500" s="720"/>
      <c r="G500" s="24">
        <f t="shared" si="87"/>
        <v>0.01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v>
      </c>
      <c r="F501" s="720"/>
      <c r="G501" s="24">
        <f t="shared" si="87"/>
        <v>0.01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v>
      </c>
      <c r="F502" s="720"/>
      <c r="G502" s="24">
        <f t="shared" si="87"/>
        <v>0.01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v>
      </c>
      <c r="F503" s="720"/>
      <c r="G503" s="24">
        <f t="shared" si="87"/>
        <v>0.01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v>
      </c>
      <c r="F504" s="720"/>
      <c r="G504" s="24">
        <f t="shared" si="87"/>
        <v>0.01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v>
      </c>
      <c r="F505" s="720"/>
      <c r="G505" s="24">
        <f t="shared" si="87"/>
        <v>0.01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v>
      </c>
      <c r="F506" s="720"/>
      <c r="G506" s="24">
        <f t="shared" si="87"/>
        <v>0.01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v>
      </c>
      <c r="F507" s="720"/>
      <c r="G507" s="24">
        <f t="shared" si="87"/>
        <v>0.01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v>
      </c>
      <c r="F508" s="720"/>
      <c r="G508" s="24">
        <f t="shared" si="87"/>
        <v>0.01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v>
      </c>
      <c r="F509" s="720"/>
      <c r="G509" s="24">
        <f t="shared" si="87"/>
        <v>0.01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v>
      </c>
      <c r="F510" s="720"/>
      <c r="G510" s="24">
        <f t="shared" si="87"/>
        <v>0.01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v>
      </c>
      <c r="F511" s="720"/>
      <c r="G511" s="24">
        <f t="shared" si="87"/>
        <v>0.01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v>
      </c>
      <c r="F512" s="720"/>
      <c r="G512" s="24">
        <f t="shared" si="87"/>
        <v>0.01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v>
      </c>
      <c r="F513" s="720"/>
      <c r="G513" s="24">
        <f t="shared" si="87"/>
        <v>0.01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v>
      </c>
      <c r="F514" s="720"/>
      <c r="G514" s="24">
        <f t="shared" si="87"/>
        <v>0.01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v>
      </c>
      <c r="F515" s="720"/>
      <c r="G515" s="24">
        <f t="shared" si="87"/>
        <v>0.01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v>
      </c>
      <c r="F516" s="720"/>
      <c r="G516" s="24">
        <f t="shared" si="87"/>
        <v>0.01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v>
      </c>
      <c r="F517" s="720"/>
      <c r="G517" s="24">
        <f t="shared" si="87"/>
        <v>0.01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v>
      </c>
      <c r="F518" s="720"/>
      <c r="G518" s="24">
        <f t="shared" si="87"/>
        <v>0.01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v>
      </c>
      <c r="F519" s="720"/>
      <c r="G519" s="24">
        <f t="shared" si="87"/>
        <v>0.01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v>
      </c>
      <c r="F520" s="720"/>
      <c r="G520" s="24">
        <f t="shared" si="87"/>
        <v>0.01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v>
      </c>
      <c r="F521" s="720"/>
      <c r="G521" s="24">
        <f t="shared" si="87"/>
        <v>0.01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v>
      </c>
      <c r="F522" s="720"/>
      <c r="G522" s="24">
        <f t="shared" si="87"/>
        <v>0.01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v>
      </c>
      <c r="F523" s="720"/>
      <c r="G523" s="24">
        <f t="shared" si="87"/>
        <v>0.01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v>
      </c>
      <c r="F524" s="720"/>
      <c r="G524" s="24">
        <f t="shared" si="87"/>
        <v>0.01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Normal="10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27.21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24834</v>
      </c>
      <c r="C2" s="1848" t="s">
        <v>1512</v>
      </c>
      <c r="D2" s="1848"/>
      <c r="E2" s="1849"/>
      <c r="F2" s="1850"/>
      <c r="G2" s="1851"/>
      <c r="H2" s="1843"/>
      <c r="I2" s="1843"/>
      <c r="J2" s="1843"/>
      <c r="K2" s="1844"/>
      <c r="L2" s="1843"/>
      <c r="M2" s="1843"/>
    </row>
    <row r="3" spans="1:37" ht="18" customHeight="1" thickBot="1">
      <c r="A3" s="1852" t="s">
        <v>1513</v>
      </c>
      <c r="B3" s="1853">
        <f ca="1">IF(ISERROR(B2*10000/F43),0,ROUND(B2*10000/F43,0))</f>
        <v>8051</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2111</v>
      </c>
      <c r="D5" s="1825" t="s">
        <v>1398</v>
      </c>
      <c r="E5" s="1296"/>
      <c r="F5" s="1297"/>
      <c r="G5" s="1854"/>
      <c r="H5" s="344">
        <v>1</v>
      </c>
      <c r="I5" s="345" t="s">
        <v>1397</v>
      </c>
      <c r="J5" s="1295">
        <f ca="1">J6+J10+J12</f>
        <v>0</v>
      </c>
      <c r="K5" s="1825" t="s">
        <v>1398</v>
      </c>
      <c r="L5" s="1296"/>
      <c r="M5" s="1297"/>
    </row>
    <row r="6" spans="1:37" ht="18" customHeight="1">
      <c r="A6" s="1294" t="s">
        <v>1032</v>
      </c>
      <c r="B6" s="3306" t="s">
        <v>1399</v>
      </c>
      <c r="C6" s="1299">
        <f ca="1">ROUND(F6*F8*F7*(1-F9)/10000,0)</f>
        <v>2108</v>
      </c>
      <c r="D6" s="164" t="s">
        <v>3030</v>
      </c>
      <c r="E6" s="347" t="s">
        <v>1401</v>
      </c>
      <c r="F6" s="348">
        <f ca="1">INDIRECT("'数据-取费表'!u"&amp;$G$1)</f>
        <v>2.08</v>
      </c>
      <c r="G6" s="1854"/>
      <c r="H6" s="1294" t="s">
        <v>1032</v>
      </c>
      <c r="I6" s="3306" t="s">
        <v>1399</v>
      </c>
      <c r="J6" s="346">
        <f ca="1">ROUND(M6*M8*M7*(1-M9)/10000,0)</f>
        <v>0</v>
      </c>
      <c r="K6" s="164" t="s">
        <v>3029</v>
      </c>
      <c r="L6" s="347" t="s">
        <v>1401</v>
      </c>
      <c r="M6" s="348">
        <f ca="1">INDIRECT("'数据-取费表'!z"&amp;$G$1)</f>
        <v>0</v>
      </c>
    </row>
    <row r="7" spans="1:37" ht="18" customHeight="1">
      <c r="A7" s="1298"/>
      <c r="B7" s="3307"/>
      <c r="C7" s="1300"/>
      <c r="D7" s="352"/>
      <c r="E7" s="1301" t="s">
        <v>1402</v>
      </c>
      <c r="F7" s="348">
        <f ca="1">IF(INDIRECT("'数据-取费表'!ah"&amp;$G$1)="",INDIRECT("'数据-取费表'!k"&amp;$G$1),INDIRECT("'数据-取费表'!ah"&amp;$G$1))</f>
        <v>30847.029999999995</v>
      </c>
      <c r="G7" s="1854"/>
      <c r="H7" s="349"/>
      <c r="I7" s="3307"/>
      <c r="J7" s="351"/>
      <c r="K7" s="352"/>
      <c r="L7" s="347" t="s">
        <v>1402</v>
      </c>
      <c r="M7" s="348">
        <f ca="1">F7</f>
        <v>30847.029999999995</v>
      </c>
    </row>
    <row r="8" spans="1:37" ht="18" customHeight="1">
      <c r="A8" s="349"/>
      <c r="B8" s="3307"/>
      <c r="C8" s="351"/>
      <c r="D8" s="352"/>
      <c r="E8" s="347" t="s">
        <v>1403</v>
      </c>
      <c r="F8" s="348">
        <f ca="1">INDIRECT("'数据-取费表'!ai"&amp;$G$1)</f>
        <v>365</v>
      </c>
      <c r="G8" s="1854"/>
      <c r="H8" s="349"/>
      <c r="I8" s="3307"/>
      <c r="J8" s="351"/>
      <c r="K8" s="352"/>
      <c r="L8" s="347" t="s">
        <v>1403</v>
      </c>
      <c r="M8" s="348">
        <f ca="1">INDIRECT("'数据-取费表'!ai"&amp;$G$1)</f>
        <v>365</v>
      </c>
    </row>
    <row r="9" spans="1:37" ht="18" customHeight="1">
      <c r="A9" s="349"/>
      <c r="B9" s="3308"/>
      <c r="C9" s="351"/>
      <c r="D9" s="352"/>
      <c r="E9" s="347" t="s">
        <v>1404</v>
      </c>
      <c r="F9" s="357">
        <f ca="1">INDIRECT("'数据-取费表'!w"&amp;$G$1)</f>
        <v>0.1</v>
      </c>
      <c r="G9" s="1854"/>
      <c r="H9" s="349"/>
      <c r="I9" s="3308"/>
      <c r="J9" s="351"/>
      <c r="K9" s="352"/>
      <c r="L9" s="358" t="s">
        <v>1404</v>
      </c>
      <c r="M9" s="359">
        <f ca="1">INDIRECT("'数据-取费表'!ab"&amp;$G$1)</f>
        <v>0</v>
      </c>
    </row>
    <row r="10" spans="1:37" ht="18" customHeight="1">
      <c r="A10" s="1294" t="s">
        <v>1036</v>
      </c>
      <c r="B10" s="1826" t="s">
        <v>1405</v>
      </c>
      <c r="C10" s="361">
        <f ca="1">ROUND(IF(F10="押一",C6/12*F11,IF(F10="押二",C6/12*2*F11,IF(F10="押三",C6/12*3*F11,C11*F11))),0)</f>
        <v>3</v>
      </c>
      <c r="D10" s="1827" t="s">
        <v>3039</v>
      </c>
      <c r="E10" s="358" t="s">
        <v>1406</v>
      </c>
      <c r="F10" s="1369" t="s">
        <v>3247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13487</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10180</v>
      </c>
      <c r="D14" s="1803" t="s">
        <v>1414</v>
      </c>
      <c r="E14" s="1797"/>
      <c r="F14" s="364"/>
      <c r="G14" s="1854"/>
      <c r="H14" s="1204" t="s">
        <v>1032</v>
      </c>
      <c r="I14" s="347" t="s">
        <v>1415</v>
      </c>
      <c r="J14" s="24">
        <f ca="1">C29</f>
        <v>15326</v>
      </c>
      <c r="K14" s="15"/>
      <c r="L14" s="982"/>
      <c r="M14" s="983"/>
    </row>
    <row r="15" spans="1:37" s="1861" customFormat="1" ht="18" customHeight="1" thickBot="1">
      <c r="A15" s="1204" t="s">
        <v>1033</v>
      </c>
      <c r="B15" s="347" t="s">
        <v>1416</v>
      </c>
      <c r="C15" s="24">
        <f ca="1">ROUND(C14*F15,0)</f>
        <v>305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364</v>
      </c>
      <c r="K16" s="1340" t="s">
        <v>1421</v>
      </c>
      <c r="L16" s="1341"/>
      <c r="M16" s="1297"/>
    </row>
    <row r="17" spans="1:37" s="1861" customFormat="1" ht="18" customHeight="1">
      <c r="A17" s="1204" t="s">
        <v>1386</v>
      </c>
      <c r="B17" s="347" t="s">
        <v>1422</v>
      </c>
      <c r="C17" s="24">
        <f ca="1">ROUND(F17*(F43+INDIRECT("'数据-取费表'!S"&amp;$G$1))/10000,0)</f>
        <v>463</v>
      </c>
      <c r="D17" s="347" t="s">
        <v>1423</v>
      </c>
      <c r="E17" s="347" t="s">
        <v>1424</v>
      </c>
      <c r="F17" s="26">
        <f>'数据-取费表'!B35</f>
        <v>150</v>
      </c>
      <c r="G17" s="1857"/>
      <c r="H17" s="1204" t="s">
        <v>1032</v>
      </c>
      <c r="I17" s="347" t="s">
        <v>1425</v>
      </c>
      <c r="J17" s="24">
        <f ca="1">ROUND(IF(项目基本情况!B11="自然人",J5*M17,J18+J19+J20),1)</f>
        <v>134.1</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153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11101</v>
      </c>
      <c r="D19" s="140" t="s">
        <v>1432</v>
      </c>
      <c r="E19" s="1821"/>
      <c r="F19" s="26"/>
      <c r="G19" s="1854"/>
      <c r="H19" s="1204" t="s">
        <v>1033</v>
      </c>
      <c r="I19" s="347" t="s">
        <v>1433</v>
      </c>
      <c r="J19" s="24">
        <f ca="1">IF(K19="按租金收入计税",ROUND(J5*M19,2),ROUND(C29*M19*0.7,2))</f>
        <v>128.74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222</v>
      </c>
      <c r="D20" s="369" t="s">
        <v>1436</v>
      </c>
      <c r="E20" s="347" t="s">
        <v>1418</v>
      </c>
      <c r="F20" s="367">
        <f>'数据-取费表'!B37</f>
        <v>0.02</v>
      </c>
      <c r="G20" s="1857"/>
      <c r="H20" s="1204" t="s">
        <v>1385</v>
      </c>
      <c r="I20" s="164" t="s">
        <v>1437</v>
      </c>
      <c r="J20" s="25">
        <f ca="1">ROUND(M20*M21/10000,2)</f>
        <v>5.39</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3595.22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229.9</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538</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-364</v>
      </c>
      <c r="K25" s="1348" t="s">
        <v>1460</v>
      </c>
      <c r="L25" s="1349"/>
      <c r="M25" s="1350"/>
    </row>
    <row r="26" spans="1:37">
      <c r="A26" s="1204" t="s">
        <v>1031</v>
      </c>
      <c r="B26" s="347" t="s">
        <v>1461</v>
      </c>
      <c r="C26" s="24">
        <f ca="1">ROUND((C19+C20)*F26,0)</f>
        <v>2265</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15326</v>
      </c>
      <c r="D29" s="1345"/>
      <c r="E29" s="1343"/>
      <c r="F29" s="1346"/>
      <c r="G29" s="1857"/>
      <c r="H29" s="380" t="s">
        <v>1030</v>
      </c>
      <c r="I29" s="381" t="s">
        <v>1475</v>
      </c>
      <c r="J29" s="382">
        <f ca="1">ROUND(J26/(1+F40)^F41,0)</f>
        <v>0</v>
      </c>
      <c r="K29" s="383" t="s">
        <v>1476</v>
      </c>
      <c r="L29" s="384"/>
      <c r="M29" s="385">
        <f ca="1">INDIRECT("'数据-取费表'!k"&amp;$G$1)</f>
        <v>30847.029999999995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664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371.3</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112.59</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253.32</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5.39</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3595.22</v>
      </c>
      <c r="G35" s="1854"/>
      <c r="H35" s="745"/>
      <c r="I35" s="1863"/>
      <c r="J35" s="1864"/>
      <c r="K35" s="1865"/>
      <c r="L35" s="1862"/>
      <c r="M35" s="1862"/>
    </row>
    <row r="36" spans="1:18" ht="18" customHeight="1">
      <c r="A36" s="1355" t="s">
        <v>1036</v>
      </c>
      <c r="B36" s="347" t="s">
        <v>1445</v>
      </c>
      <c r="C36" s="24">
        <f ca="1">ROUND(C29*F36,1)</f>
        <v>229.9</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20.2</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42.2</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1447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24834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27.21</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8051</v>
      </c>
      <c r="D43" s="383" t="s">
        <v>1484</v>
      </c>
      <c r="E43" s="384" t="s">
        <v>1485</v>
      </c>
      <c r="F43" s="385">
        <f ca="1">INDIRECT("'数据-取费表'!k"&amp;$G$1)</f>
        <v>30847.029999999995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-46353</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40</v>
      </c>
      <c r="M47" s="1841" t="str">
        <f>IF(ISNUMBER(FIND("住宅",C1)),"住宅","非住宅")</f>
        <v>非住宅</v>
      </c>
      <c r="O47" s="1887" t="s">
        <v>1037</v>
      </c>
      <c r="P47" s="1888" t="s">
        <v>1524</v>
      </c>
      <c r="Q47" s="1889">
        <f ca="1">C40+J29</f>
        <v>24834</v>
      </c>
      <c r="R47" s="1889" t="s">
        <v>1525</v>
      </c>
    </row>
    <row r="48" spans="1:18" s="1845" customFormat="1" ht="28.5" thickBot="1">
      <c r="A48" s="1363" t="s">
        <v>1132</v>
      </c>
      <c r="B48" s="345" t="s">
        <v>1397</v>
      </c>
      <c r="C48" s="1820">
        <f ca="1">C49+C53+C55</f>
        <v>0</v>
      </c>
      <c r="D48" s="1365"/>
      <c r="E48" s="1366"/>
      <c r="F48" s="1184"/>
      <c r="G48" s="792"/>
      <c r="H48" s="793"/>
      <c r="I48" s="1890" t="s">
        <v>1526</v>
      </c>
      <c r="J48" s="1891" t="s">
        <v>3240</v>
      </c>
      <c r="K48" s="1892" t="s">
        <v>1527</v>
      </c>
      <c r="L48" s="1893">
        <f ca="1">INDIRECT("'数据-取费表'!f"&amp;$G$1)</f>
        <v>27.21</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2011</v>
      </c>
      <c r="K49" s="1892" t="s">
        <v>1531</v>
      </c>
      <c r="L49" s="1896"/>
      <c r="O49" s="1897" t="s">
        <v>1039</v>
      </c>
      <c r="P49" s="1888" t="s">
        <v>1532</v>
      </c>
      <c r="Q49" s="1889">
        <f ca="1">C29</f>
        <v>15326</v>
      </c>
      <c r="R49" s="1889" t="s">
        <v>1525</v>
      </c>
    </row>
    <row r="50" spans="1:18" s="1845" customFormat="1" ht="13.5" thickBot="1">
      <c r="A50" s="1198"/>
      <c r="B50" s="1201"/>
      <c r="C50" s="1371"/>
      <c r="D50" s="1175"/>
      <c r="E50" s="1280" t="s">
        <v>1402</v>
      </c>
      <c r="F50" s="1281">
        <f ca="1">F7</f>
        <v>30847.029999999995</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5409</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27.21</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27.21</v>
      </c>
      <c r="K53" s="3304" t="s">
        <v>1544</v>
      </c>
      <c r="L53" s="3305"/>
      <c r="O53" s="1887" t="s">
        <v>1043</v>
      </c>
      <c r="P53" s="1888" t="s">
        <v>1545</v>
      </c>
      <c r="Q53" s="1889">
        <f ca="1">Q47+Q48</f>
        <v>24834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13487</v>
      </c>
      <c r="D56" s="1917"/>
      <c r="E56" s="1918"/>
      <c r="F56" s="1910"/>
      <c r="I56" s="1919" t="s">
        <v>1550</v>
      </c>
      <c r="J56" s="1920" t="s">
        <v>3204</v>
      </c>
      <c r="K56" s="1890" t="s">
        <v>1551</v>
      </c>
      <c r="L56" s="1893" t="str">
        <f ca="1">IF(L48&lt;J51,"——",L48-J53)</f>
        <v>——</v>
      </c>
      <c r="O56" s="1887" t="s">
        <v>1037</v>
      </c>
      <c r="P56" s="1888" t="s">
        <v>1524</v>
      </c>
      <c r="Q56" s="1889">
        <f ca="1">C40+J29</f>
        <v>24834</v>
      </c>
      <c r="R56" s="1889" t="s">
        <v>1525</v>
      </c>
    </row>
    <row r="57" spans="1:18" s="1845" customFormat="1" ht="24.75" thickBot="1">
      <c r="A57" s="1921"/>
      <c r="B57" s="1172" t="s">
        <v>1474</v>
      </c>
      <c r="C57" s="282">
        <f ca="1">C29</f>
        <v>15326</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1543</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1292.8</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1287.3800000000001</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5.39</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24834</v>
      </c>
      <c r="R62" s="1889" t="s">
        <v>1044</v>
      </c>
    </row>
    <row r="63" spans="1:18" s="1845" customFormat="1" ht="13.5" thickBot="1">
      <c r="A63" s="372"/>
      <c r="B63" s="1178"/>
      <c r="C63" s="29"/>
      <c r="D63" s="1188"/>
      <c r="E63" s="1172" t="s">
        <v>1495</v>
      </c>
      <c r="F63" s="348">
        <f t="shared" ca="1" si="0"/>
        <v>3595.22</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229.9</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20.2</v>
      </c>
      <c r="D65" s="1186" t="s">
        <v>1450</v>
      </c>
      <c r="E65" s="1172" t="s">
        <v>1451</v>
      </c>
      <c r="F65" s="376">
        <f t="shared" ca="1" si="0"/>
        <v>1.5E-3</v>
      </c>
      <c r="I65" s="1932" t="s">
        <v>1575</v>
      </c>
      <c r="J65" s="1933">
        <v>40</v>
      </c>
      <c r="K65" s="1933">
        <v>30</v>
      </c>
      <c r="L65" s="1933">
        <v>50</v>
      </c>
      <c r="M65" s="1935">
        <v>0.02</v>
      </c>
      <c r="O65" s="1887" t="s">
        <v>1037</v>
      </c>
      <c r="P65" s="1888" t="s">
        <v>1576</v>
      </c>
      <c r="Q65" s="1889">
        <f ca="1">C40+J29</f>
        <v>24834</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-1543</v>
      </c>
      <c r="D67" s="1185" t="s">
        <v>1460</v>
      </c>
      <c r="E67" s="1190"/>
      <c r="F67" s="1191"/>
      <c r="O67" s="1897" t="s">
        <v>1039</v>
      </c>
      <c r="P67" s="1888" t="s">
        <v>1558</v>
      </c>
      <c r="Q67" s="1936">
        <f ca="1">L51</f>
        <v>5409</v>
      </c>
      <c r="R67" s="1889" t="s">
        <v>1578</v>
      </c>
    </row>
    <row r="68" spans="1:18" s="1845" customFormat="1" ht="16.5" thickBot="1">
      <c r="A68" s="1169" t="s">
        <v>1029</v>
      </c>
      <c r="B68" s="1170" t="s">
        <v>1481</v>
      </c>
      <c r="C68" s="346">
        <f ca="1">ROUND(C67*(1-((1+F70)/(1+F68))^F69)/(F68-F70),0)</f>
        <v>-21519</v>
      </c>
      <c r="D68" s="1187" t="s">
        <v>1465</v>
      </c>
      <c r="E68" s="1172" t="s">
        <v>1466</v>
      </c>
      <c r="F68" s="357">
        <f ca="1">F40</f>
        <v>5.5E-2</v>
      </c>
      <c r="O68" s="1897" t="s">
        <v>1040</v>
      </c>
      <c r="P68" s="1937" t="s">
        <v>1579</v>
      </c>
      <c r="Q68" s="1889">
        <f ca="1">ROUND(Q69-Q70*Q71,0)</f>
        <v>368</v>
      </c>
      <c r="R68" s="1889" t="s">
        <v>1048</v>
      </c>
    </row>
    <row r="69" spans="1:18" s="1845" customFormat="1" ht="13.5" thickBot="1">
      <c r="A69" s="1173"/>
      <c r="B69" s="1174"/>
      <c r="C69" s="351"/>
      <c r="D69" s="1192" t="s">
        <v>1469</v>
      </c>
      <c r="E69" s="1172" t="s">
        <v>1470</v>
      </c>
      <c r="F69" s="379">
        <f ca="1">F41</f>
        <v>27.21</v>
      </c>
      <c r="O69" s="1897" t="s">
        <v>1045</v>
      </c>
      <c r="P69" s="1937" t="s">
        <v>1580</v>
      </c>
      <c r="Q69" s="1889">
        <f ca="1">C39</f>
        <v>1447</v>
      </c>
      <c r="R69" s="1889" t="s">
        <v>1525</v>
      </c>
    </row>
    <row r="70" spans="1:18" s="1845" customFormat="1" ht="13.5" thickBot="1">
      <c r="A70" s="1176"/>
      <c r="B70" s="1177"/>
      <c r="C70" s="355"/>
      <c r="D70" s="1188"/>
      <c r="E70" s="1172" t="s">
        <v>1473</v>
      </c>
      <c r="F70" s="1278"/>
      <c r="O70" s="1897" t="s">
        <v>1046</v>
      </c>
      <c r="P70" s="1937" t="s">
        <v>1581</v>
      </c>
      <c r="Q70" s="1889">
        <f ca="1">C13</f>
        <v>13487</v>
      </c>
      <c r="R70" s="1889" t="s">
        <v>1525</v>
      </c>
    </row>
    <row r="71" spans="1:18" s="1845" customFormat="1" ht="13.5" thickBot="1">
      <c r="A71" s="1193" t="s">
        <v>1030</v>
      </c>
      <c r="B71" s="1194" t="s">
        <v>1483</v>
      </c>
      <c r="C71" s="382">
        <f ca="1">ROUND(C68*10000/F71,0)</f>
        <v>-6976</v>
      </c>
      <c r="D71" s="1195" t="s">
        <v>1484</v>
      </c>
      <c r="E71" s="1196" t="s">
        <v>1485</v>
      </c>
      <c r="F71" s="385">
        <f ca="1">F43</f>
        <v>30847.029999999995</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1079</v>
      </c>
      <c r="D75" s="1845"/>
      <c r="E75" s="1845"/>
      <c r="F75" s="1845"/>
      <c r="K75" s="1871"/>
      <c r="L75" s="1845"/>
      <c r="O75" s="1887" t="s">
        <v>1043</v>
      </c>
      <c r="P75" s="1888" t="s">
        <v>1545</v>
      </c>
      <c r="Q75" s="1889">
        <f ca="1">Q65+Q66</f>
        <v>24834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0.254</v>
      </c>
    </row>
    <row r="80" spans="1:18">
      <c r="B80" s="386" t="s">
        <v>1507</v>
      </c>
      <c r="C80" s="318">
        <f ca="1">ROUND(C75/C39,3)</f>
        <v>0.746</v>
      </c>
    </row>
    <row r="81" spans="2:3">
      <c r="B81" s="314" t="s">
        <v>1508</v>
      </c>
      <c r="C81" s="282"/>
    </row>
    <row r="82" spans="2:3">
      <c r="B82" s="317" t="s">
        <v>1509</v>
      </c>
      <c r="C82" s="319">
        <f ca="1">1-C83</f>
        <v>0.45699999999999996</v>
      </c>
    </row>
    <row r="83" spans="2:3">
      <c r="B83" s="317" t="s">
        <v>1510</v>
      </c>
      <c r="C83" s="318">
        <f ca="1">ROUND(C13/C40,3)</f>
        <v>0.54300000000000004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估价对象为房地产，为所有。根据《国有土地使用证》[]，估价对象（分摊）出让国有建设用地使用权面积为3961.76平方米，建筑面积为33991.92平方米。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估价对象为房地产,属开发建设的，该项目尚在开发建设中。根据《国有土地使用证》[]，估价对象（分摊）出让国有建设用地使用权面积为3961.76平方米，规划建筑面积为33991.92平方米。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2019年3月8日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0</v>
      </c>
      <c r="C2" s="1848" t="s">
        <v>1587</v>
      </c>
      <c r="D2" s="1941">
        <f ca="1">C40+J29+L46</f>
        <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306" t="s">
        <v>1399</v>
      </c>
      <c r="C6" s="1299">
        <f ca="1">ROUND(F6*F8*F7*(1-F9),0)</f>
        <v>0</v>
      </c>
      <c r="D6" s="164" t="s">
        <v>3027</v>
      </c>
      <c r="E6" s="347" t="s">
        <v>1401</v>
      </c>
      <c r="F6" s="348">
        <f ca="1">INDIRECT("'数据-取费表'!u"&amp;$G$1)</f>
        <v>0.5</v>
      </c>
      <c r="G6" s="1854"/>
      <c r="H6" s="1294" t="s">
        <v>1032</v>
      </c>
      <c r="I6" s="3306" t="s">
        <v>1399</v>
      </c>
      <c r="J6" s="346">
        <f ca="1">ROUND(M6*M8*M7*(1-M9),0)</f>
        <v>0</v>
      </c>
      <c r="K6" s="1837" t="s">
        <v>3028</v>
      </c>
      <c r="L6" s="347" t="s">
        <v>1401</v>
      </c>
      <c r="M6" s="348">
        <f ca="1">INDIRECT("'数据-取费表'!z"&amp;$G$1)</f>
        <v>0</v>
      </c>
    </row>
    <row r="7" spans="1:37" ht="18" customHeight="1">
      <c r="A7" s="1298"/>
      <c r="B7" s="3307"/>
      <c r="C7" s="1300"/>
      <c r="D7" s="352"/>
      <c r="E7" s="1301" t="s">
        <v>1402</v>
      </c>
      <c r="F7" s="348">
        <f ca="1">IF(INDIRECT("'数据-取费表'!ah"&amp;$G$1)="",INDIRECT("'数据-取费表'!k"&amp;$G$1),INDIRECT("'数据-取费表'!ah"&amp;$G$1))</f>
        <v>0</v>
      </c>
      <c r="G7" s="1854"/>
      <c r="H7" s="349"/>
      <c r="I7" s="3307"/>
      <c r="J7" s="351"/>
      <c r="K7" s="352"/>
      <c r="L7" s="347" t="s">
        <v>1402</v>
      </c>
      <c r="M7" s="348">
        <f ca="1">F7</f>
        <v>0</v>
      </c>
    </row>
    <row r="8" spans="1:37" ht="18" customHeight="1">
      <c r="A8" s="349"/>
      <c r="B8" s="3307"/>
      <c r="C8" s="351"/>
      <c r="D8" s="352"/>
      <c r="E8" s="347" t="s">
        <v>1403</v>
      </c>
      <c r="F8" s="348">
        <f ca="1">INDIRECT("'数据-取费表'!ai"&amp;$G$1)</f>
        <v>365</v>
      </c>
      <c r="G8" s="1854"/>
      <c r="H8" s="349"/>
      <c r="I8" s="3307"/>
      <c r="J8" s="351"/>
      <c r="K8" s="352"/>
      <c r="L8" s="347" t="s">
        <v>1403</v>
      </c>
      <c r="M8" s="348">
        <f ca="1">INDIRECT("'数据-取费表'!ai"&amp;$G$1)</f>
        <v>365</v>
      </c>
    </row>
    <row r="9" spans="1:37" ht="18" customHeight="1">
      <c r="A9" s="349"/>
      <c r="B9" s="3308"/>
      <c r="C9" s="351"/>
      <c r="D9" s="352"/>
      <c r="E9" s="347" t="s">
        <v>1404</v>
      </c>
      <c r="F9" s="357">
        <f ca="1">INDIRECT("'数据-取费表'!w"&amp;$G$1)</f>
        <v>0.1</v>
      </c>
      <c r="G9" s="1854"/>
      <c r="H9" s="349"/>
      <c r="I9" s="330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c r="G10" s="1854"/>
      <c r="H10" s="1294" t="s">
        <v>1036</v>
      </c>
      <c r="I10" s="1826" t="s">
        <v>1405</v>
      </c>
      <c r="J10" s="346">
        <f ca="1">ROUND(IF(M10="押一",J6/12*M11,IF(M10="押二",J6/12*2*M11,IF(M10="押三",J6/12*3*M11,J11*M11))),0)</f>
        <v>0</v>
      </c>
      <c r="K10" s="1838" t="s">
        <v>3040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0</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0</v>
      </c>
      <c r="D45" s="1943" t="s">
        <v>1600</v>
      </c>
      <c r="E45" s="1869"/>
      <c r="F45" s="1869"/>
      <c r="O45" s="1872" t="s">
        <v>1515</v>
      </c>
      <c r="P45" s="1842"/>
      <c r="Q45" s="1842"/>
      <c r="R45" s="1842"/>
    </row>
    <row r="46" spans="1:18" s="1845" customFormat="1" ht="13.5" thickBot="1">
      <c r="A46" s="1873" t="s">
        <v>1516</v>
      </c>
      <c r="C46" s="1874">
        <f ca="1">ROUND(C45/10000,0)</f>
        <v>0</v>
      </c>
      <c r="D46" s="1875" t="str">
        <f>C2</f>
        <v>万元</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f ca="1">C40+J29</f>
        <v>0</v>
      </c>
      <c r="R47" s="1889" t="s">
        <v>1525</v>
      </c>
    </row>
    <row r="48" spans="1:18" s="1845" customFormat="1" ht="28.5" thickBot="1">
      <c r="A48" s="1363" t="s">
        <v>1132</v>
      </c>
      <c r="B48" s="345" t="s">
        <v>1397</v>
      </c>
      <c r="C48" s="1820">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30.75" customHeight="1" thickBot="1">
      <c r="A53" s="1364" t="s">
        <v>1134</v>
      </c>
      <c r="B53" s="369" t="s">
        <v>1405</v>
      </c>
      <c r="C53" s="361">
        <f ca="1">ROUND(IF(F53="押一",C49/12*F11,IF(F53="押二",C49/12*2*F11,IF(F53="押三",C49/12*3*F11,C54*F11))),0)</f>
        <v>0</v>
      </c>
      <c r="D53" s="1827" t="s">
        <v>3041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04" t="s">
        <v>1544</v>
      </c>
      <c r="L53" s="3305"/>
      <c r="O53" s="1887" t="s">
        <v>1043</v>
      </c>
      <c r="P53" s="1888" t="s">
        <v>1545</v>
      </c>
      <c r="Q53" s="1889">
        <f ca="1">Q47+Q48</f>
        <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t="s">
        <v>3204</v>
      </c>
      <c r="K56" s="1890" t="s">
        <v>1551</v>
      </c>
      <c r="L56" s="1893" t="str">
        <f ca="1">IF(L48&lt;J51,"——",L48-J51)</f>
        <v>——</v>
      </c>
      <c r="O56" s="1887" t="s">
        <v>1037</v>
      </c>
      <c r="P56" s="1888" t="s">
        <v>1524</v>
      </c>
      <c r="Q56" s="1889">
        <f ca="1">C40+J29</f>
        <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1.5E-3</v>
      </c>
      <c r="I65" s="1932" t="s">
        <v>1575</v>
      </c>
      <c r="J65" s="1933">
        <v>40</v>
      </c>
      <c r="K65" s="1933">
        <v>30</v>
      </c>
      <c r="L65" s="1933">
        <v>50</v>
      </c>
      <c r="M65" s="1935">
        <v>0.02</v>
      </c>
      <c r="O65" s="1887" t="s">
        <v>1037</v>
      </c>
      <c r="P65" s="1888" t="s">
        <v>1576</v>
      </c>
      <c r="Q65" s="1889">
        <f ca="1">C40+J29</f>
        <v>0</v>
      </c>
      <c r="R65" s="1889" t="s">
        <v>1525</v>
      </c>
    </row>
    <row r="66" spans="1:18" s="1845" customFormat="1" ht="16.5"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f ca="1">ROUND(C67*(1-((1+F70)/(1+F68))^F69)/(F68-F70),0)</f>
        <v>0</v>
      </c>
      <c r="D68" s="1187" t="s">
        <v>1465</v>
      </c>
      <c r="E68" s="1172" t="s">
        <v>1466</v>
      </c>
      <c r="F68" s="357">
        <f ca="1">F40</f>
        <v>4.4999999999999998E-2</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f ca="1">F42</f>
        <v>0.02</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5" t="s">
        <v>1073</v>
      </c>
      <c r="B1" s="3326"/>
      <c r="C1" s="3327"/>
      <c r="D1" s="3328">
        <f>SUM(I10,I15,I20,I21,I23)</f>
        <v>0</v>
      </c>
      <c r="E1" s="3328"/>
      <c r="F1" s="3328"/>
      <c r="G1" s="3328"/>
      <c r="H1" s="3328"/>
      <c r="I1" s="3329"/>
    </row>
    <row r="2" spans="1:9">
      <c r="A2" s="3315" t="s">
        <v>1074</v>
      </c>
      <c r="B2" s="3316" t="s">
        <v>1075</v>
      </c>
      <c r="C2" s="3316"/>
      <c r="D2" s="1304" t="s">
        <v>1076</v>
      </c>
      <c r="E2" s="1304" t="s">
        <v>1077</v>
      </c>
      <c r="F2" s="1304" t="s">
        <v>1078</v>
      </c>
      <c r="G2" s="1304" t="s">
        <v>1079</v>
      </c>
      <c r="H2" s="1304" t="s">
        <v>1080</v>
      </c>
      <c r="I2" s="1305" t="s">
        <v>1081</v>
      </c>
    </row>
    <row r="3" spans="1:9">
      <c r="A3" s="3315"/>
      <c r="B3" s="3316" t="s">
        <v>1082</v>
      </c>
      <c r="C3" s="3316"/>
      <c r="D3" s="1306"/>
      <c r="E3" s="1304"/>
      <c r="F3" s="1307"/>
      <c r="G3" s="1307"/>
      <c r="H3" s="1308"/>
      <c r="I3" s="1309">
        <f>ROUND(D3*E3*F3*G3*H3/10000,0)</f>
        <v>0</v>
      </c>
    </row>
    <row r="4" spans="1:9">
      <c r="A4" s="3315"/>
      <c r="B4" s="3316" t="s">
        <v>1083</v>
      </c>
      <c r="C4" s="3316"/>
      <c r="D4" s="1306"/>
      <c r="E4" s="1304"/>
      <c r="F4" s="1307"/>
      <c r="G4" s="1307"/>
      <c r="H4" s="1308"/>
      <c r="I4" s="1309">
        <f t="shared" ref="I4:I9" si="0">ROUND(D4*E4*F4*G4*H4/10000,0)</f>
        <v>0</v>
      </c>
    </row>
    <row r="5" spans="1:9">
      <c r="A5" s="3315"/>
      <c r="B5" s="3316" t="s">
        <v>1084</v>
      </c>
      <c r="C5" s="3316"/>
      <c r="D5" s="1306"/>
      <c r="E5" s="1304"/>
      <c r="F5" s="1307"/>
      <c r="G5" s="1307"/>
      <c r="H5" s="1308"/>
      <c r="I5" s="1309">
        <f t="shared" si="0"/>
        <v>0</v>
      </c>
    </row>
    <row r="6" spans="1:9">
      <c r="A6" s="3315"/>
      <c r="B6" s="3316" t="s">
        <v>1085</v>
      </c>
      <c r="C6" s="3316"/>
      <c r="D6" s="1306"/>
      <c r="E6" s="1304"/>
      <c r="F6" s="1307"/>
      <c r="G6" s="1307"/>
      <c r="H6" s="1308"/>
      <c r="I6" s="1309">
        <f t="shared" si="0"/>
        <v>0</v>
      </c>
    </row>
    <row r="7" spans="1:9">
      <c r="A7" s="3315"/>
      <c r="B7" s="3316" t="s">
        <v>1086</v>
      </c>
      <c r="C7" s="3316"/>
      <c r="D7" s="1306"/>
      <c r="E7" s="1304"/>
      <c r="F7" s="1307"/>
      <c r="G7" s="1307"/>
      <c r="H7" s="1308"/>
      <c r="I7" s="1309">
        <f t="shared" si="0"/>
        <v>0</v>
      </c>
    </row>
    <row r="8" spans="1:9">
      <c r="A8" s="3315"/>
      <c r="B8" s="3316" t="s">
        <v>1087</v>
      </c>
      <c r="C8" s="3316"/>
      <c r="D8" s="1306"/>
      <c r="E8" s="1304"/>
      <c r="F8" s="1307"/>
      <c r="G8" s="1307"/>
      <c r="H8" s="1308"/>
      <c r="I8" s="1309">
        <f t="shared" si="0"/>
        <v>0</v>
      </c>
    </row>
    <row r="9" spans="1:9">
      <c r="A9" s="3315"/>
      <c r="B9" s="3316" t="s">
        <v>1088</v>
      </c>
      <c r="C9" s="3316"/>
      <c r="D9" s="1306"/>
      <c r="E9" s="1304"/>
      <c r="F9" s="1307"/>
      <c r="G9" s="1307"/>
      <c r="H9" s="1308"/>
      <c r="I9" s="1309">
        <f t="shared" si="0"/>
        <v>0</v>
      </c>
    </row>
    <row r="10" spans="1:9">
      <c r="A10" s="3315"/>
      <c r="B10" s="3317" t="s">
        <v>1089</v>
      </c>
      <c r="C10" s="3317"/>
      <c r="D10" s="1310"/>
      <c r="E10" s="1310" t="e">
        <f>ROUND(D1*10000/D10/H9,0)</f>
        <v>#DIV/0!</v>
      </c>
      <c r="F10" s="1311"/>
      <c r="G10" s="1311"/>
      <c r="H10" s="1312"/>
      <c r="I10" s="1313">
        <f>SUM(I3:I9)</f>
        <v>0</v>
      </c>
    </row>
    <row r="11" spans="1:9" ht="14.25">
      <c r="A11" s="3315" t="s">
        <v>1090</v>
      </c>
      <c r="B11" s="3316" t="s">
        <v>1091</v>
      </c>
      <c r="C11" s="3316"/>
      <c r="D11" s="1306" t="s">
        <v>1092</v>
      </c>
      <c r="E11" s="1306" t="s">
        <v>1093</v>
      </c>
      <c r="F11" s="1307" t="s">
        <v>1094</v>
      </c>
      <c r="G11" s="1307" t="s">
        <v>1080</v>
      </c>
      <c r="H11" s="1314" t="s">
        <v>1095</v>
      </c>
      <c r="I11" s="1305" t="s">
        <v>1081</v>
      </c>
    </row>
    <row r="12" spans="1:9">
      <c r="A12" s="3315"/>
      <c r="B12" s="3316" t="s">
        <v>1096</v>
      </c>
      <c r="C12" s="3316"/>
      <c r="D12" s="1306"/>
      <c r="E12" s="1306"/>
      <c r="F12" s="1307"/>
      <c r="G12" s="1308"/>
      <c r="H12" s="1315"/>
      <c r="I12" s="1305">
        <f>ROUND(D12*E12*F12*G12/10000,0)</f>
        <v>0</v>
      </c>
    </row>
    <row r="13" spans="1:9">
      <c r="A13" s="3315"/>
      <c r="B13" s="3316" t="s">
        <v>1097</v>
      </c>
      <c r="C13" s="3316"/>
      <c r="D13" s="1306"/>
      <c r="E13" s="1306"/>
      <c r="F13" s="1307"/>
      <c r="G13" s="1308"/>
      <c r="H13" s="1315"/>
      <c r="I13" s="1305">
        <f>ROUND(D13*E13*F13*G13/10000,0)</f>
        <v>0</v>
      </c>
    </row>
    <row r="14" spans="1:9">
      <c r="A14" s="3315"/>
      <c r="B14" s="3316" t="s">
        <v>1098</v>
      </c>
      <c r="C14" s="3316"/>
      <c r="D14" s="1306"/>
      <c r="E14" s="1306"/>
      <c r="F14" s="1307"/>
      <c r="G14" s="1308"/>
      <c r="H14" s="1315"/>
      <c r="I14" s="1305">
        <f>ROUND(D14*E14*F14*G14/10000,0)</f>
        <v>0</v>
      </c>
    </row>
    <row r="15" spans="1:9">
      <c r="A15" s="3315"/>
      <c r="B15" s="3317" t="s">
        <v>1089</v>
      </c>
      <c r="C15" s="3317"/>
      <c r="D15" s="1310"/>
      <c r="E15" s="1310">
        <f>SUM(E12:E14)</f>
        <v>0</v>
      </c>
      <c r="F15" s="1311"/>
      <c r="G15" s="1308"/>
      <c r="H15" s="1315"/>
      <c r="I15" s="1316">
        <f>SUM(I12:I14)</f>
        <v>0</v>
      </c>
    </row>
    <row r="16" spans="1:9" ht="24">
      <c r="A16" s="3315" t="s">
        <v>1099</v>
      </c>
      <c r="B16" s="3316" t="s">
        <v>1100</v>
      </c>
      <c r="C16" s="3316"/>
      <c r="D16" s="1306" t="s">
        <v>1076</v>
      </c>
      <c r="E16" s="1317" t="s">
        <v>1101</v>
      </c>
      <c r="F16" s="1307" t="s">
        <v>1102</v>
      </c>
      <c r="G16" s="1308" t="s">
        <v>1080</v>
      </c>
      <c r="H16" s="1314" t="s">
        <v>1095</v>
      </c>
      <c r="I16" s="1305" t="s">
        <v>1081</v>
      </c>
    </row>
    <row r="17" spans="1:9" ht="14.25">
      <c r="A17" s="3315"/>
      <c r="B17" s="3316" t="s">
        <v>1103</v>
      </c>
      <c r="C17" s="3316"/>
      <c r="D17" s="1306"/>
      <c r="E17" s="1306"/>
      <c r="F17" s="1307"/>
      <c r="G17" s="1308"/>
      <c r="H17" s="1318"/>
      <c r="I17" s="1319">
        <f>ROUND(D17*E17*F17*G17/10000,0)</f>
        <v>0</v>
      </c>
    </row>
    <row r="18" spans="1:9" ht="14.25">
      <c r="A18" s="3315"/>
      <c r="B18" s="3316" t="s">
        <v>1104</v>
      </c>
      <c r="C18" s="3316"/>
      <c r="D18" s="1306"/>
      <c r="E18" s="1306"/>
      <c r="F18" s="1307"/>
      <c r="G18" s="1308"/>
      <c r="H18" s="1318"/>
      <c r="I18" s="1319">
        <f>ROUND(D18*E18*F18*G18/10000,0)</f>
        <v>0</v>
      </c>
    </row>
    <row r="19" spans="1:9" ht="14.25">
      <c r="A19" s="3315"/>
      <c r="B19" s="3316" t="s">
        <v>1105</v>
      </c>
      <c r="C19" s="3316"/>
      <c r="D19" s="1306"/>
      <c r="E19" s="1306"/>
      <c r="F19" s="1307"/>
      <c r="G19" s="1308"/>
      <c r="H19" s="1318"/>
      <c r="I19" s="1319">
        <f>ROUND(D19*E19*F19*G19/10000,0)</f>
        <v>0</v>
      </c>
    </row>
    <row r="20" spans="1:9">
      <c r="A20" s="3315"/>
      <c r="B20" s="3317" t="s">
        <v>1089</v>
      </c>
      <c r="C20" s="3317"/>
      <c r="D20" s="1310">
        <f>SUM(D17:D19)</f>
        <v>0</v>
      </c>
      <c r="E20" s="1310"/>
      <c r="F20" s="1311"/>
      <c r="G20" s="1308"/>
      <c r="H20" s="1315"/>
      <c r="I20" s="1316">
        <f>SUM(I17:I19)</f>
        <v>0</v>
      </c>
    </row>
    <row r="21" spans="1:9">
      <c r="A21" s="3315" t="s">
        <v>1106</v>
      </c>
      <c r="B21" s="3318"/>
      <c r="C21" s="3318"/>
      <c r="D21" s="3318"/>
      <c r="E21" s="3318"/>
      <c r="F21" s="3318"/>
      <c r="G21" s="3318"/>
      <c r="H21" s="1768">
        <v>0.1</v>
      </c>
      <c r="I21" s="1313">
        <f>ROUND(I10*H21,0)</f>
        <v>0</v>
      </c>
    </row>
    <row r="22" spans="1:9" ht="14.25">
      <c r="A22" s="3319" t="s">
        <v>1107</v>
      </c>
      <c r="B22" s="3320"/>
      <c r="C22" s="3321"/>
      <c r="D22" s="1320" t="s">
        <v>1108</v>
      </c>
      <c r="E22" s="1320" t="s">
        <v>1109</v>
      </c>
      <c r="F22" s="1321" t="s">
        <v>1110</v>
      </c>
      <c r="G22" s="1321" t="s">
        <v>1111</v>
      </c>
      <c r="H22" s="1314" t="s">
        <v>1112</v>
      </c>
      <c r="I22" s="1305" t="s">
        <v>1113</v>
      </c>
    </row>
    <row r="23" spans="1:9" ht="14.25" thickBot="1">
      <c r="A23" s="3322"/>
      <c r="B23" s="3323"/>
      <c r="C23" s="3324"/>
      <c r="D23" s="1322"/>
      <c r="E23" s="1322"/>
      <c r="F23" s="1322"/>
      <c r="G23" s="1323"/>
      <c r="H23" s="1324"/>
      <c r="I23" s="1325">
        <f>ROUND(E23*D23*F23*(1-G23)/10000,0)</f>
        <v>0</v>
      </c>
    </row>
    <row r="26" spans="1:9">
      <c r="A26" s="1326" t="s">
        <v>1114</v>
      </c>
      <c r="B26" s="1326"/>
      <c r="C26" s="1326"/>
      <c r="D26" s="1326"/>
      <c r="E26" s="3312">
        <f>C27-C30-C31-C32</f>
        <v>0</v>
      </c>
      <c r="F26" s="3312"/>
      <c r="G26" s="3312"/>
      <c r="H26" s="1740" t="s">
        <v>1336</v>
      </c>
    </row>
    <row r="27" spans="1:9">
      <c r="A27" s="1327">
        <v>1</v>
      </c>
      <c r="B27" s="1328" t="s">
        <v>1115</v>
      </c>
      <c r="C27" s="1328">
        <f>C28+C29</f>
        <v>0</v>
      </c>
      <c r="D27" s="1328"/>
      <c r="E27" s="3313"/>
      <c r="F27" s="3313"/>
      <c r="G27" s="3313"/>
    </row>
    <row r="28" spans="1:9">
      <c r="A28" s="1329" t="s">
        <v>1116</v>
      </c>
      <c r="B28" s="1328" t="s">
        <v>1117</v>
      </c>
      <c r="C28" s="1328"/>
      <c r="D28" s="1328"/>
      <c r="E28" s="3313"/>
      <c r="F28" s="3313"/>
      <c r="G28" s="331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314"/>
      <c r="F32" s="3314"/>
      <c r="G32" s="3314"/>
    </row>
    <row r="33" spans="1:7" hidden="1">
      <c r="A33" s="3309" t="s">
        <v>1126</v>
      </c>
      <c r="B33" s="3310"/>
      <c r="C33" s="3310"/>
      <c r="D33" s="3311"/>
      <c r="E33" s="3312"/>
      <c r="F33" s="3312"/>
      <c r="G33" s="3312"/>
    </row>
    <row r="34" spans="1:7" hidden="1">
      <c r="A34" s="1331">
        <v>1</v>
      </c>
      <c r="B34" s="1328" t="s">
        <v>1127</v>
      </c>
      <c r="C34" s="1328"/>
      <c r="D34" s="1328"/>
      <c r="E34" s="3313"/>
      <c r="F34" s="3313"/>
      <c r="G34" s="3313"/>
    </row>
    <row r="35" spans="1:7" hidden="1">
      <c r="A35" s="1331">
        <v>2</v>
      </c>
      <c r="B35" s="1328" t="s">
        <v>1128</v>
      </c>
      <c r="C35" s="1328"/>
      <c r="D35" s="1328"/>
      <c r="E35" s="3313"/>
      <c r="F35" s="3313"/>
      <c r="G35" s="3313"/>
    </row>
    <row r="36" spans="1:7" hidden="1">
      <c r="A36" s="1331">
        <v>3</v>
      </c>
      <c r="B36" s="1328" t="s">
        <v>1129</v>
      </c>
      <c r="C36" s="1328"/>
      <c r="D36" s="1328"/>
      <c r="E36" s="3313"/>
      <c r="F36" s="3313"/>
      <c r="G36" s="3313"/>
    </row>
    <row r="37" spans="1:7" hidden="1">
      <c r="A37" s="1331">
        <v>4</v>
      </c>
      <c r="B37" s="1328" t="s">
        <v>1130</v>
      </c>
      <c r="C37" s="1328"/>
      <c r="D37" s="1328"/>
      <c r="E37" s="3313"/>
      <c r="F37" s="3313"/>
      <c r="G37" s="3313"/>
    </row>
    <row r="38" spans="1:7" hidden="1">
      <c r="A38" s="3309" t="s">
        <v>1131</v>
      </c>
      <c r="B38" s="3310"/>
      <c r="C38" s="3310"/>
      <c r="D38" s="3311"/>
      <c r="E38" s="3312"/>
      <c r="F38" s="3312"/>
      <c r="G38" s="33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2530</v>
      </c>
      <c r="C1" s="1637" t="s">
        <v>2531</v>
      </c>
      <c r="D1" s="1624"/>
      <c r="E1" s="2589"/>
      <c r="F1" s="2590" t="s">
        <v>2532</v>
      </c>
      <c r="G1" s="1634" t="s">
        <v>2533</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2535</v>
      </c>
      <c r="D3" s="399">
        <f>IF(D1="",'数据-汇总表'!E3,SUMIF('数据-汇总表'!$C19:$C33,D1,'数据-汇总表'!$E19:$E33))</f>
        <v>33991.919999999998</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2536</v>
      </c>
      <c r="B4" s="402"/>
      <c r="C4" s="3250" t="s">
        <v>2537</v>
      </c>
      <c r="D4" s="3263"/>
      <c r="E4" s="3264" t="s">
        <v>2538</v>
      </c>
      <c r="F4" s="3265"/>
      <c r="G4" s="3250" t="s">
        <v>2539</v>
      </c>
      <c r="H4" s="3263"/>
      <c r="I4" s="3250" t="s">
        <v>2540</v>
      </c>
      <c r="J4" s="3263"/>
      <c r="K4" s="2602" t="s">
        <v>2541</v>
      </c>
      <c r="L4" s="1133"/>
      <c r="M4" s="1134"/>
      <c r="N4" s="1134"/>
      <c r="O4" s="1134"/>
      <c r="P4" s="3266" t="s">
        <v>2542</v>
      </c>
      <c r="Q4" s="3267"/>
      <c r="R4" s="3272" t="s">
        <v>2538</v>
      </c>
      <c r="S4" s="3273"/>
      <c r="T4" s="3272" t="s">
        <v>2539</v>
      </c>
      <c r="U4" s="3273"/>
      <c r="V4" s="3259" t="s">
        <v>2540</v>
      </c>
      <c r="W4" s="3259"/>
      <c r="X4" s="1816"/>
      <c r="Y4" s="3272" t="s">
        <v>2542</v>
      </c>
      <c r="Z4" s="3273"/>
      <c r="AA4" s="3260" t="s">
        <v>2538</v>
      </c>
      <c r="AB4" s="3260" t="s">
        <v>2539</v>
      </c>
      <c r="AC4" s="3260" t="s">
        <v>2540</v>
      </c>
    </row>
    <row r="5" spans="1:29" ht="15">
      <c r="A5" s="404"/>
      <c r="B5" s="405"/>
      <c r="C5" s="3280" t="s">
        <v>2543</v>
      </c>
      <c r="D5" s="3281"/>
      <c r="E5" s="3287" t="s">
        <v>2544</v>
      </c>
      <c r="F5" s="3288"/>
      <c r="G5" s="3280" t="s">
        <v>2545</v>
      </c>
      <c r="H5" s="3281"/>
      <c r="I5" s="3280" t="s">
        <v>2546</v>
      </c>
      <c r="J5" s="3281"/>
      <c r="K5" s="2603"/>
      <c r="L5" s="1133"/>
      <c r="M5" s="1134"/>
      <c r="N5" s="1134"/>
      <c r="O5" s="1134"/>
      <c r="P5" s="3268"/>
      <c r="Q5" s="3269"/>
      <c r="R5" s="3274"/>
      <c r="S5" s="3275"/>
      <c r="T5" s="3274"/>
      <c r="U5" s="3275"/>
      <c r="V5" s="3259"/>
      <c r="W5" s="3259"/>
      <c r="X5" s="1816"/>
      <c r="Y5" s="3274"/>
      <c r="Z5" s="3275"/>
      <c r="AA5" s="3261"/>
      <c r="AB5" s="3261"/>
      <c r="AC5" s="3261"/>
    </row>
    <row r="6" spans="1:29" ht="15.75" thickBot="1">
      <c r="A6" s="406"/>
      <c r="B6" s="407"/>
      <c r="C6" s="3278" t="s">
        <v>2547</v>
      </c>
      <c r="D6" s="3279"/>
      <c r="E6" s="3285" t="s">
        <v>2547</v>
      </c>
      <c r="F6" s="3286"/>
      <c r="G6" s="3278" t="s">
        <v>2547</v>
      </c>
      <c r="H6" s="3279"/>
      <c r="I6" s="3278" t="s">
        <v>2547</v>
      </c>
      <c r="J6" s="3279"/>
      <c r="K6" s="2603" t="s">
        <v>2548</v>
      </c>
      <c r="L6" s="1133"/>
      <c r="M6" s="1134"/>
      <c r="N6" s="1134"/>
      <c r="O6" s="1134"/>
      <c r="P6" s="3270"/>
      <c r="Q6" s="3271"/>
      <c r="R6" s="3274"/>
      <c r="S6" s="3275"/>
      <c r="T6" s="3276"/>
      <c r="U6" s="3277"/>
      <c r="V6" s="3259"/>
      <c r="W6" s="3259"/>
      <c r="X6" s="1816"/>
      <c r="Y6" s="3276"/>
      <c r="Z6" s="3277"/>
      <c r="AA6" s="3262"/>
      <c r="AB6" s="3262"/>
      <c r="AC6" s="3262"/>
    </row>
    <row r="7" spans="1:29" s="117" customFormat="1" ht="15.75" thickBot="1">
      <c r="A7" s="408" t="s">
        <v>2549</v>
      </c>
      <c r="B7" s="409"/>
      <c r="C7" s="410">
        <f>'数据-取费表'!B2</f>
        <v>43532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82" t="s">
        <v>2550</v>
      </c>
      <c r="Q7" s="3284"/>
      <c r="R7" s="770" t="s">
        <v>23</v>
      </c>
      <c r="S7" s="771">
        <f t="shared" ref="S7:S15" si="0">F7</f>
        <v>0</v>
      </c>
      <c r="T7" s="770" t="s">
        <v>23</v>
      </c>
      <c r="U7" s="771">
        <f t="shared" ref="U7:U15" si="1">H7</f>
        <v>0</v>
      </c>
      <c r="V7" s="770" t="s">
        <v>23</v>
      </c>
      <c r="W7" s="771">
        <f t="shared" ref="W7:W15" si="2">J7</f>
        <v>0</v>
      </c>
      <c r="X7" s="772"/>
      <c r="Y7" s="3282" t="s">
        <v>2550</v>
      </c>
      <c r="Z7" s="3283"/>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82" t="s">
        <v>2553</v>
      </c>
      <c r="Q8" s="3283"/>
      <c r="R8" s="770" t="s">
        <v>23</v>
      </c>
      <c r="S8" s="771">
        <f t="shared" si="0"/>
        <v>0</v>
      </c>
      <c r="T8" s="770" t="s">
        <v>23</v>
      </c>
      <c r="U8" s="771">
        <f t="shared" si="1"/>
        <v>0</v>
      </c>
      <c r="V8" s="770" t="s">
        <v>23</v>
      </c>
      <c r="W8" s="771">
        <f t="shared" si="2"/>
        <v>0</v>
      </c>
      <c r="X8" s="772"/>
      <c r="Y8" s="3282" t="s">
        <v>2553</v>
      </c>
      <c r="Z8" s="3283"/>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52" t="s">
        <v>2556</v>
      </c>
      <c r="Q9" s="1798" t="str">
        <f t="shared" ref="Q9:Q15" si="6">B9</f>
        <v>用途</v>
      </c>
      <c r="R9" s="770" t="s">
        <v>17</v>
      </c>
      <c r="S9" s="771">
        <f t="shared" si="0"/>
        <v>100</v>
      </c>
      <c r="T9" s="770" t="s">
        <v>17</v>
      </c>
      <c r="U9" s="771">
        <f t="shared" si="1"/>
        <v>100</v>
      </c>
      <c r="V9" s="770" t="s">
        <v>17</v>
      </c>
      <c r="W9" s="771">
        <f t="shared" si="2"/>
        <v>100</v>
      </c>
      <c r="X9" s="772"/>
      <c r="Y9" s="307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2"/>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2"/>
      <c r="Q11" s="1798" t="str">
        <f t="shared" si="6"/>
        <v>容积率</v>
      </c>
      <c r="R11" s="770" t="s">
        <v>21</v>
      </c>
      <c r="S11" s="771" t="e">
        <f t="shared" si="0"/>
        <v>#N/A</v>
      </c>
      <c r="T11" s="770" t="s">
        <v>21</v>
      </c>
      <c r="U11" s="771" t="e">
        <f t="shared" si="1"/>
        <v>#N/A</v>
      </c>
      <c r="V11" s="770" t="s">
        <v>21</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52"/>
      <c r="Q12" s="1798">
        <f t="shared" si="6"/>
        <v>111</v>
      </c>
      <c r="R12" s="770" t="s">
        <v>21</v>
      </c>
      <c r="S12" s="771">
        <f t="shared" si="0"/>
        <v>100</v>
      </c>
      <c r="T12" s="770" t="s">
        <v>21</v>
      </c>
      <c r="U12" s="771">
        <f t="shared" si="1"/>
        <v>100</v>
      </c>
      <c r="V12" s="770" t="s">
        <v>21</v>
      </c>
      <c r="W12" s="771">
        <f t="shared" si="2"/>
        <v>100</v>
      </c>
      <c r="X12" s="772"/>
      <c r="Y12" s="3077"/>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52"/>
      <c r="Q13" s="1798">
        <f t="shared" si="6"/>
        <v>111</v>
      </c>
      <c r="R13" s="770" t="s">
        <v>21</v>
      </c>
      <c r="S13" s="771">
        <f t="shared" si="0"/>
        <v>100</v>
      </c>
      <c r="T13" s="770" t="s">
        <v>21</v>
      </c>
      <c r="U13" s="771">
        <f t="shared" si="1"/>
        <v>100</v>
      </c>
      <c r="V13" s="770" t="s">
        <v>21</v>
      </c>
      <c r="W13" s="771">
        <f t="shared" si="2"/>
        <v>100</v>
      </c>
      <c r="X13" s="772"/>
      <c r="Y13" s="3077"/>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52"/>
      <c r="Q14" s="1798">
        <f t="shared" si="6"/>
        <v>111</v>
      </c>
      <c r="R14" s="770" t="s">
        <v>21</v>
      </c>
      <c r="S14" s="771">
        <f t="shared" si="0"/>
        <v>100</v>
      </c>
      <c r="T14" s="770" t="s">
        <v>21</v>
      </c>
      <c r="U14" s="771">
        <f t="shared" si="1"/>
        <v>100</v>
      </c>
      <c r="V14" s="770" t="s">
        <v>21</v>
      </c>
      <c r="W14" s="771">
        <f t="shared" si="2"/>
        <v>100</v>
      </c>
      <c r="X14" s="772"/>
      <c r="Y14" s="3077"/>
      <c r="Z14" s="55">
        <f t="shared" si="7"/>
        <v>111</v>
      </c>
      <c r="AA14" s="773">
        <f t="shared" si="3"/>
        <v>1</v>
      </c>
      <c r="AB14" s="773">
        <f t="shared" si="4"/>
        <v>1</v>
      </c>
      <c r="AC14" s="773">
        <f t="shared" si="5"/>
        <v>1</v>
      </c>
    </row>
    <row r="15" spans="1:29" ht="99.75">
      <c r="A15" s="440" t="s">
        <v>2560</v>
      </c>
      <c r="B15" s="69" t="s">
        <v>2085</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2" t="s">
        <v>2561</v>
      </c>
      <c r="Q15" s="1813" t="str">
        <f t="shared" si="6"/>
        <v>居住社区成熟度</v>
      </c>
      <c r="R15" s="774" t="s">
        <v>21</v>
      </c>
      <c r="S15" s="775">
        <f t="shared" si="0"/>
        <v>100</v>
      </c>
      <c r="T15" s="774" t="s">
        <v>21</v>
      </c>
      <c r="U15" s="775">
        <f t="shared" si="1"/>
        <v>100</v>
      </c>
      <c r="V15" s="774" t="s">
        <v>21</v>
      </c>
      <c r="W15" s="775">
        <f t="shared" si="2"/>
        <v>100</v>
      </c>
      <c r="X15" s="1816"/>
      <c r="Y15" s="3255" t="s">
        <v>2561</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93"/>
      <c r="Q16" s="1813"/>
      <c r="R16" s="774"/>
      <c r="S16" s="775"/>
      <c r="T16" s="774"/>
      <c r="U16" s="775"/>
      <c r="V16" s="774"/>
      <c r="W16" s="775"/>
      <c r="X16" s="1816"/>
      <c r="Y16" s="3256"/>
      <c r="Z16" s="1817"/>
      <c r="AA16" s="1814">
        <v>1</v>
      </c>
      <c r="AB16" s="1814">
        <v>1</v>
      </c>
      <c r="AC16" s="1814">
        <v>1</v>
      </c>
    </row>
    <row r="17" spans="1:29" ht="85.5">
      <c r="A17" s="428"/>
      <c r="B17" s="451" t="s">
        <v>2097</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3"/>
      <c r="Q17" s="1813" t="str">
        <f>B17</f>
        <v>交通便捷度</v>
      </c>
      <c r="R17" s="774" t="s">
        <v>21</v>
      </c>
      <c r="S17" s="775">
        <f>F17</f>
        <v>100</v>
      </c>
      <c r="T17" s="774" t="s">
        <v>21</v>
      </c>
      <c r="U17" s="775">
        <f>H17</f>
        <v>100</v>
      </c>
      <c r="V17" s="774" t="s">
        <v>21</v>
      </c>
      <c r="W17" s="775">
        <f>J17</f>
        <v>100</v>
      </c>
      <c r="X17" s="1816"/>
      <c r="Y17" s="3256"/>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93"/>
      <c r="Q18" s="1813"/>
      <c r="R18" s="774"/>
      <c r="S18" s="775"/>
      <c r="T18" s="774"/>
      <c r="U18" s="775"/>
      <c r="V18" s="774"/>
      <c r="W18" s="775"/>
      <c r="X18" s="1816"/>
      <c r="Y18" s="3256"/>
      <c r="Z18" s="1817"/>
      <c r="AA18" s="1814">
        <v>1</v>
      </c>
      <c r="AB18" s="1814">
        <v>1</v>
      </c>
      <c r="AC18" s="1814">
        <v>1</v>
      </c>
    </row>
    <row r="19" spans="1:29" ht="42.75">
      <c r="A19" s="428"/>
      <c r="B19" s="451" t="s">
        <v>2095</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3"/>
      <c r="Q19" s="1813" t="str">
        <f>B19</f>
        <v>公共配套设施</v>
      </c>
      <c r="R19" s="774" t="s">
        <v>21</v>
      </c>
      <c r="S19" s="775">
        <f>F19</f>
        <v>100</v>
      </c>
      <c r="T19" s="774" t="s">
        <v>21</v>
      </c>
      <c r="U19" s="775">
        <f>H19</f>
        <v>100</v>
      </c>
      <c r="V19" s="774" t="s">
        <v>21</v>
      </c>
      <c r="W19" s="775">
        <f>J19</f>
        <v>100</v>
      </c>
      <c r="X19" s="1816"/>
      <c r="Y19" s="3256"/>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93"/>
      <c r="Q20" s="1813"/>
      <c r="R20" s="774"/>
      <c r="S20" s="775"/>
      <c r="T20" s="774"/>
      <c r="U20" s="775"/>
      <c r="V20" s="774"/>
      <c r="W20" s="775"/>
      <c r="X20" s="1816"/>
      <c r="Y20" s="3256"/>
      <c r="Z20" s="1817"/>
      <c r="AA20" s="1814">
        <v>1</v>
      </c>
      <c r="AB20" s="1814">
        <v>1</v>
      </c>
      <c r="AC20" s="1814">
        <v>1</v>
      </c>
    </row>
    <row r="21" spans="1:29" ht="28.5">
      <c r="A21" s="428"/>
      <c r="B21" s="1387" t="s">
        <v>2098</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3"/>
      <c r="Q21" s="1813" t="str">
        <f>B21</f>
        <v>基础设施水平</v>
      </c>
      <c r="R21" s="774" t="s">
        <v>17</v>
      </c>
      <c r="S21" s="775">
        <f>F21</f>
        <v>100</v>
      </c>
      <c r="T21" s="774" t="s">
        <v>17</v>
      </c>
      <c r="U21" s="775">
        <f>H21</f>
        <v>100</v>
      </c>
      <c r="V21" s="774" t="s">
        <v>17</v>
      </c>
      <c r="W21" s="775">
        <f>J21</f>
        <v>100</v>
      </c>
      <c r="X21" s="1816"/>
      <c r="Y21" s="325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93"/>
      <c r="Q22" s="1813"/>
      <c r="R22" s="774"/>
      <c r="S22" s="775"/>
      <c r="T22" s="774"/>
      <c r="U22" s="775"/>
      <c r="V22" s="774"/>
      <c r="W22" s="775"/>
      <c r="X22" s="1816"/>
      <c r="Y22" s="3256"/>
      <c r="Z22" s="1817"/>
      <c r="AA22" s="1814">
        <v>1</v>
      </c>
      <c r="AB22" s="1814">
        <v>1</v>
      </c>
      <c r="AC22" s="1814">
        <v>1</v>
      </c>
    </row>
    <row r="23" spans="1:29" ht="57">
      <c r="A23" s="428"/>
      <c r="B23" s="451" t="s">
        <v>2102</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3"/>
      <c r="Q23" s="1813" t="str">
        <f>B23</f>
        <v>自然及人文环境</v>
      </c>
      <c r="R23" s="774" t="s">
        <v>21</v>
      </c>
      <c r="S23" s="775">
        <f>F23</f>
        <v>100</v>
      </c>
      <c r="T23" s="774" t="s">
        <v>21</v>
      </c>
      <c r="U23" s="775">
        <f>H23</f>
        <v>100</v>
      </c>
      <c r="V23" s="774" t="s">
        <v>21</v>
      </c>
      <c r="W23" s="775">
        <f>J23</f>
        <v>100</v>
      </c>
      <c r="X23" s="1816"/>
      <c r="Y23" s="3256"/>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93"/>
      <c r="Q24" s="1813"/>
      <c r="R24" s="774"/>
      <c r="S24" s="775"/>
      <c r="T24" s="774"/>
      <c r="U24" s="775"/>
      <c r="V24" s="774"/>
      <c r="W24" s="775"/>
      <c r="X24" s="1816"/>
      <c r="Y24" s="3256"/>
      <c r="Z24" s="1817"/>
      <c r="AA24" s="1814">
        <v>1</v>
      </c>
      <c r="AB24" s="1814">
        <v>1</v>
      </c>
      <c r="AC24" s="1814">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9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56"/>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93"/>
      <c r="Q26" s="1813" t="str">
        <f t="shared" si="11"/>
        <v>朝向</v>
      </c>
      <c r="R26" s="774" t="s">
        <v>21</v>
      </c>
      <c r="S26" s="775">
        <f t="shared" si="12"/>
        <v>100</v>
      </c>
      <c r="T26" s="774" t="s">
        <v>21</v>
      </c>
      <c r="U26" s="775">
        <f t="shared" si="13"/>
        <v>100</v>
      </c>
      <c r="V26" s="774" t="s">
        <v>21</v>
      </c>
      <c r="W26" s="775">
        <f t="shared" si="14"/>
        <v>100</v>
      </c>
      <c r="X26" s="1816"/>
      <c r="Y26" s="325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93"/>
      <c r="Q27" s="1798">
        <f t="shared" si="11"/>
        <v>111</v>
      </c>
      <c r="R27" s="770" t="s">
        <v>21</v>
      </c>
      <c r="S27" s="771">
        <f t="shared" si="12"/>
        <v>100</v>
      </c>
      <c r="T27" s="770" t="s">
        <v>21</v>
      </c>
      <c r="U27" s="771">
        <f t="shared" si="13"/>
        <v>100</v>
      </c>
      <c r="V27" s="770" t="s">
        <v>21</v>
      </c>
      <c r="W27" s="771">
        <f t="shared" si="14"/>
        <v>100</v>
      </c>
      <c r="X27" s="772"/>
      <c r="Y27" s="325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93"/>
      <c r="Q28" s="1813">
        <f t="shared" si="11"/>
        <v>111</v>
      </c>
      <c r="R28" s="774" t="s">
        <v>21</v>
      </c>
      <c r="S28" s="775">
        <f t="shared" si="12"/>
        <v>100</v>
      </c>
      <c r="T28" s="774" t="s">
        <v>21</v>
      </c>
      <c r="U28" s="775">
        <f t="shared" si="13"/>
        <v>100</v>
      </c>
      <c r="V28" s="774" t="s">
        <v>21</v>
      </c>
      <c r="W28" s="775">
        <f t="shared" si="14"/>
        <v>100</v>
      </c>
      <c r="X28" s="1816"/>
      <c r="Y28" s="325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93"/>
      <c r="Q29" s="1813">
        <f t="shared" si="11"/>
        <v>111</v>
      </c>
      <c r="R29" s="774" t="s">
        <v>21</v>
      </c>
      <c r="S29" s="775">
        <f t="shared" si="12"/>
        <v>100</v>
      </c>
      <c r="T29" s="774" t="s">
        <v>21</v>
      </c>
      <c r="U29" s="775">
        <f t="shared" si="13"/>
        <v>100</v>
      </c>
      <c r="V29" s="774" t="s">
        <v>21</v>
      </c>
      <c r="W29" s="775">
        <f t="shared" si="14"/>
        <v>100</v>
      </c>
      <c r="X29" s="1816"/>
      <c r="Y29" s="325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93"/>
      <c r="Q30" s="1813">
        <f t="shared" si="11"/>
        <v>111</v>
      </c>
      <c r="R30" s="774" t="s">
        <v>21</v>
      </c>
      <c r="S30" s="775">
        <f t="shared" si="12"/>
        <v>100</v>
      </c>
      <c r="T30" s="774" t="s">
        <v>21</v>
      </c>
      <c r="U30" s="775">
        <f t="shared" si="13"/>
        <v>100</v>
      </c>
      <c r="V30" s="774" t="s">
        <v>21</v>
      </c>
      <c r="W30" s="775">
        <f t="shared" si="14"/>
        <v>100</v>
      </c>
      <c r="X30" s="1816"/>
      <c r="Y30" s="325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93"/>
      <c r="Q31" s="1813">
        <f t="shared" si="11"/>
        <v>111</v>
      </c>
      <c r="R31" s="774" t="s">
        <v>21</v>
      </c>
      <c r="S31" s="775">
        <f t="shared" si="12"/>
        <v>100</v>
      </c>
      <c r="T31" s="774" t="s">
        <v>21</v>
      </c>
      <c r="U31" s="775">
        <f t="shared" si="13"/>
        <v>100</v>
      </c>
      <c r="V31" s="774" t="s">
        <v>21</v>
      </c>
      <c r="W31" s="775">
        <f t="shared" si="14"/>
        <v>100</v>
      </c>
      <c r="X31" s="1816"/>
      <c r="Y31" s="3256"/>
      <c r="Z31" s="1817">
        <f t="shared" si="18"/>
        <v>111</v>
      </c>
      <c r="AA31" s="1814">
        <f t="shared" si="15"/>
        <v>1</v>
      </c>
      <c r="AB31" s="1814">
        <f t="shared" si="16"/>
        <v>1</v>
      </c>
      <c r="AC31" s="1814">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94" t="s">
        <v>2566</v>
      </c>
      <c r="Q32" s="1813" t="str">
        <f t="shared" si="11"/>
        <v>建筑类型</v>
      </c>
      <c r="R32" s="774" t="s">
        <v>21</v>
      </c>
      <c r="S32" s="775">
        <f t="shared" si="12"/>
        <v>100</v>
      </c>
      <c r="T32" s="774" t="s">
        <v>21</v>
      </c>
      <c r="U32" s="775">
        <f t="shared" si="13"/>
        <v>100</v>
      </c>
      <c r="V32" s="774" t="s">
        <v>21</v>
      </c>
      <c r="W32" s="775">
        <f t="shared" si="14"/>
        <v>100</v>
      </c>
      <c r="X32" s="1816"/>
      <c r="Y32" s="325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95"/>
      <c r="Q33" s="776" t="str">
        <f t="shared" si="11"/>
        <v>项目建筑规模</v>
      </c>
      <c r="R33" s="777" t="s">
        <v>21</v>
      </c>
      <c r="S33" s="778" t="e">
        <f t="shared" si="12"/>
        <v>#N/A</v>
      </c>
      <c r="T33" s="777" t="s">
        <v>21</v>
      </c>
      <c r="U33" s="778" t="e">
        <f t="shared" si="13"/>
        <v>#N/A</v>
      </c>
      <c r="V33" s="777" t="s">
        <v>21</v>
      </c>
      <c r="W33" s="778" t="e">
        <f t="shared" si="14"/>
        <v>#N/A</v>
      </c>
      <c r="X33" s="779"/>
      <c r="Y33" s="3258"/>
      <c r="Z33" s="780" t="str">
        <f t="shared" si="18"/>
        <v>项目建筑规模</v>
      </c>
      <c r="AA33" s="1814" t="e">
        <f t="shared" si="15"/>
        <v>#N/A</v>
      </c>
      <c r="AB33" s="1814" t="e">
        <f t="shared" si="16"/>
        <v>#N/A</v>
      </c>
      <c r="AC33" s="1814"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95"/>
      <c r="Q34" s="1813" t="str">
        <f t="shared" si="11"/>
        <v>建筑结构</v>
      </c>
      <c r="R34" s="774" t="s">
        <v>21</v>
      </c>
      <c r="S34" s="775">
        <f t="shared" si="12"/>
        <v>100</v>
      </c>
      <c r="T34" s="774" t="s">
        <v>21</v>
      </c>
      <c r="U34" s="775">
        <f t="shared" si="13"/>
        <v>100</v>
      </c>
      <c r="V34" s="774" t="s">
        <v>21</v>
      </c>
      <c r="W34" s="775">
        <f t="shared" si="14"/>
        <v>100</v>
      </c>
      <c r="X34" s="1816"/>
      <c r="Y34" s="3258"/>
      <c r="Z34" s="1817" t="str">
        <f t="shared" si="18"/>
        <v>建筑结构</v>
      </c>
      <c r="AA34" s="1814">
        <f t="shared" si="15"/>
        <v>1</v>
      </c>
      <c r="AB34" s="1814">
        <f t="shared" si="16"/>
        <v>1</v>
      </c>
      <c r="AC34" s="1814">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95"/>
      <c r="Q35" s="1813" t="str">
        <f t="shared" si="11"/>
        <v>建筑品质</v>
      </c>
      <c r="R35" s="774" t="s">
        <v>21</v>
      </c>
      <c r="S35" s="775">
        <f t="shared" si="12"/>
        <v>100</v>
      </c>
      <c r="T35" s="774" t="s">
        <v>21</v>
      </c>
      <c r="U35" s="775">
        <f t="shared" si="13"/>
        <v>100</v>
      </c>
      <c r="V35" s="774" t="s">
        <v>21</v>
      </c>
      <c r="W35" s="775">
        <f t="shared" si="14"/>
        <v>100</v>
      </c>
      <c r="X35" s="1816"/>
      <c r="Y35" s="3258"/>
      <c r="Z35" s="1817" t="str">
        <f t="shared" si="18"/>
        <v>建筑品质</v>
      </c>
      <c r="AA35" s="1814">
        <f t="shared" si="15"/>
        <v>1</v>
      </c>
      <c r="AB35" s="1814">
        <f t="shared" si="16"/>
        <v>1</v>
      </c>
      <c r="AC35" s="1814">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95"/>
      <c r="Q36" s="1813" t="str">
        <f t="shared" si="11"/>
        <v>公共部分装修</v>
      </c>
      <c r="R36" s="774" t="s">
        <v>21</v>
      </c>
      <c r="S36" s="775">
        <f t="shared" si="12"/>
        <v>100</v>
      </c>
      <c r="T36" s="774" t="s">
        <v>21</v>
      </c>
      <c r="U36" s="775">
        <f t="shared" si="13"/>
        <v>100</v>
      </c>
      <c r="V36" s="774" t="s">
        <v>21</v>
      </c>
      <c r="W36" s="775">
        <f t="shared" si="14"/>
        <v>100</v>
      </c>
      <c r="X36" s="1816"/>
      <c r="Y36" s="325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5"/>
      <c r="Q37" s="1798" t="str">
        <f t="shared" si="11"/>
        <v>成新度</v>
      </c>
      <c r="R37" s="770" t="s">
        <v>21</v>
      </c>
      <c r="S37" s="771" t="e">
        <f t="shared" si="12"/>
        <v>#N/A</v>
      </c>
      <c r="T37" s="770" t="s">
        <v>21</v>
      </c>
      <c r="U37" s="771" t="e">
        <f t="shared" si="13"/>
        <v>#N/A</v>
      </c>
      <c r="V37" s="770" t="s">
        <v>21</v>
      </c>
      <c r="W37" s="771" t="e">
        <f t="shared" si="14"/>
        <v>#N/A</v>
      </c>
      <c r="X37" s="772"/>
      <c r="Y37" s="3258"/>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95" t="s">
        <v>2566</v>
      </c>
      <c r="Q38" s="1813" t="str">
        <f t="shared" si="11"/>
        <v>物业管理</v>
      </c>
      <c r="R38" s="774" t="s">
        <v>21</v>
      </c>
      <c r="S38" s="775">
        <f t="shared" si="12"/>
        <v>100</v>
      </c>
      <c r="T38" s="774" t="s">
        <v>21</v>
      </c>
      <c r="U38" s="775">
        <f t="shared" si="13"/>
        <v>100</v>
      </c>
      <c r="V38" s="774" t="s">
        <v>21</v>
      </c>
      <c r="W38" s="775">
        <f t="shared" si="14"/>
        <v>100</v>
      </c>
      <c r="X38" s="1816"/>
      <c r="Y38" s="3258" t="s">
        <v>2566</v>
      </c>
      <c r="Z38" s="1817" t="str">
        <f t="shared" si="18"/>
        <v>物业管理</v>
      </c>
      <c r="AA38" s="1814">
        <f t="shared" si="15"/>
        <v>1</v>
      </c>
      <c r="AB38" s="1814">
        <f t="shared" si="16"/>
        <v>1</v>
      </c>
      <c r="AC38" s="1814">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95"/>
      <c r="Q39" s="1813" t="str">
        <f t="shared" si="11"/>
        <v>市政基础设施</v>
      </c>
      <c r="R39" s="774" t="s">
        <v>21</v>
      </c>
      <c r="S39" s="775">
        <f t="shared" si="12"/>
        <v>100</v>
      </c>
      <c r="T39" s="774" t="s">
        <v>21</v>
      </c>
      <c r="U39" s="775">
        <f t="shared" si="13"/>
        <v>100</v>
      </c>
      <c r="V39" s="774" t="s">
        <v>21</v>
      </c>
      <c r="W39" s="775">
        <f t="shared" si="14"/>
        <v>100</v>
      </c>
      <c r="X39" s="1816"/>
      <c r="Y39" s="3258"/>
      <c r="Z39" s="1817" t="str">
        <f t="shared" si="18"/>
        <v>市政基础设施</v>
      </c>
      <c r="AA39" s="1814">
        <f t="shared" si="15"/>
        <v>1</v>
      </c>
      <c r="AB39" s="1814">
        <f t="shared" si="16"/>
        <v>1</v>
      </c>
      <c r="AC39" s="1814">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95"/>
      <c r="Q40" s="1813" t="str">
        <f t="shared" si="11"/>
        <v>房型</v>
      </c>
      <c r="R40" s="774" t="s">
        <v>21</v>
      </c>
      <c r="S40" s="775">
        <f t="shared" si="12"/>
        <v>100</v>
      </c>
      <c r="T40" s="774" t="s">
        <v>21</v>
      </c>
      <c r="U40" s="775">
        <f t="shared" si="13"/>
        <v>100</v>
      </c>
      <c r="V40" s="774" t="s">
        <v>21</v>
      </c>
      <c r="W40" s="775">
        <f t="shared" si="14"/>
        <v>100</v>
      </c>
      <c r="X40" s="1816"/>
      <c r="Y40" s="325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95"/>
      <c r="Q41" s="776" t="str">
        <f t="shared" si="11"/>
        <v>单套/主力户型建筑面积</v>
      </c>
      <c r="R41" s="777" t="s">
        <v>21</v>
      </c>
      <c r="S41" s="778">
        <f t="shared" si="12"/>
        <v>100</v>
      </c>
      <c r="T41" s="777" t="s">
        <v>21</v>
      </c>
      <c r="U41" s="778">
        <f t="shared" si="13"/>
        <v>100</v>
      </c>
      <c r="V41" s="777" t="s">
        <v>21</v>
      </c>
      <c r="W41" s="778">
        <f t="shared" si="14"/>
        <v>100</v>
      </c>
      <c r="X41" s="779"/>
      <c r="Y41" s="3258"/>
      <c r="Z41" s="780" t="str">
        <f t="shared" si="18"/>
        <v>单套/主力户型建筑面积</v>
      </c>
      <c r="AA41" s="1814">
        <f t="shared" si="15"/>
        <v>1</v>
      </c>
      <c r="AB41" s="1814">
        <f t="shared" si="16"/>
        <v>1</v>
      </c>
      <c r="AC41" s="1814">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95"/>
      <c r="Q42" s="1813" t="str">
        <f t="shared" si="11"/>
        <v>内部装修</v>
      </c>
      <c r="R42" s="774" t="s">
        <v>21</v>
      </c>
      <c r="S42" s="775">
        <f t="shared" si="12"/>
        <v>100</v>
      </c>
      <c r="T42" s="774" t="s">
        <v>21</v>
      </c>
      <c r="U42" s="775">
        <f t="shared" si="13"/>
        <v>100</v>
      </c>
      <c r="V42" s="774" t="s">
        <v>21</v>
      </c>
      <c r="W42" s="775">
        <f t="shared" si="14"/>
        <v>100</v>
      </c>
      <c r="X42" s="1816"/>
      <c r="Y42" s="3258"/>
      <c r="Z42" s="1817" t="str">
        <f t="shared" si="18"/>
        <v>内部装修</v>
      </c>
      <c r="AA42" s="1814">
        <f t="shared" si="15"/>
        <v>1</v>
      </c>
      <c r="AB42" s="1814">
        <f t="shared" si="16"/>
        <v>1</v>
      </c>
      <c r="AC42" s="1814">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95"/>
      <c r="Q43" s="1813" t="str">
        <f t="shared" si="11"/>
        <v>内部装修维护情况</v>
      </c>
      <c r="R43" s="774" t="s">
        <v>21</v>
      </c>
      <c r="S43" s="775">
        <f t="shared" si="12"/>
        <v>100</v>
      </c>
      <c r="T43" s="774" t="s">
        <v>21</v>
      </c>
      <c r="U43" s="775">
        <f t="shared" si="13"/>
        <v>100</v>
      </c>
      <c r="V43" s="774" t="s">
        <v>21</v>
      </c>
      <c r="W43" s="775">
        <f t="shared" si="14"/>
        <v>100</v>
      </c>
      <c r="X43" s="1816"/>
      <c r="Y43" s="325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95"/>
      <c r="Q44" s="1798">
        <f t="shared" si="11"/>
        <v>111</v>
      </c>
      <c r="R44" s="770" t="s">
        <v>21</v>
      </c>
      <c r="S44" s="771">
        <f t="shared" si="12"/>
        <v>100</v>
      </c>
      <c r="T44" s="770" t="s">
        <v>21</v>
      </c>
      <c r="U44" s="771">
        <f t="shared" si="13"/>
        <v>100</v>
      </c>
      <c r="V44" s="770" t="s">
        <v>21</v>
      </c>
      <c r="W44" s="771">
        <f t="shared" si="14"/>
        <v>100</v>
      </c>
      <c r="X44" s="772"/>
      <c r="Y44" s="325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95"/>
      <c r="Q45" s="1813">
        <f t="shared" si="11"/>
        <v>111</v>
      </c>
      <c r="R45" s="774" t="s">
        <v>21</v>
      </c>
      <c r="S45" s="775">
        <f t="shared" si="12"/>
        <v>100</v>
      </c>
      <c r="T45" s="774" t="s">
        <v>21</v>
      </c>
      <c r="U45" s="775">
        <f t="shared" si="13"/>
        <v>100</v>
      </c>
      <c r="V45" s="774" t="s">
        <v>21</v>
      </c>
      <c r="W45" s="775">
        <f t="shared" si="14"/>
        <v>100</v>
      </c>
      <c r="X45" s="1816"/>
      <c r="Y45" s="3258"/>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96"/>
      <c r="Q46" s="1813">
        <f t="shared" si="11"/>
        <v>111</v>
      </c>
      <c r="R46" s="774" t="s">
        <v>20</v>
      </c>
      <c r="S46" s="775">
        <f t="shared" si="12"/>
        <v>100</v>
      </c>
      <c r="T46" s="774" t="s">
        <v>20</v>
      </c>
      <c r="U46" s="775">
        <f t="shared" si="13"/>
        <v>100</v>
      </c>
      <c r="V46" s="774" t="s">
        <v>20</v>
      </c>
      <c r="W46" s="775">
        <f t="shared" si="14"/>
        <v>100</v>
      </c>
      <c r="X46" s="1816"/>
      <c r="Y46" s="3297"/>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7"/>
      <c r="L47" s="1146"/>
      <c r="M47" s="1147"/>
      <c r="N47" s="1134"/>
      <c r="O47" s="1147"/>
      <c r="P47" s="3253" t="str">
        <f>A47</f>
        <v>成交单价（元/平方米）</v>
      </c>
      <c r="Q47" s="3253"/>
      <c r="R47" s="3290">
        <f>E47</f>
        <v>0</v>
      </c>
      <c r="S47" s="3290"/>
      <c r="T47" s="3290">
        <f>G47</f>
        <v>0</v>
      </c>
      <c r="U47" s="3290"/>
      <c r="V47" s="3290">
        <f>I47</f>
        <v>0</v>
      </c>
      <c r="W47" s="3290"/>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8"/>
      <c r="L48" s="1146"/>
      <c r="M48" s="1147"/>
      <c r="N48" s="1147"/>
      <c r="O48" s="1147"/>
      <c r="P48" s="3253" t="str">
        <f>A48</f>
        <v>比较价值（元/平方米）</v>
      </c>
      <c r="Q48" s="3253"/>
      <c r="R48" s="3290" t="e">
        <f>IF(F1="售价",ROUND(PRODUCT(R47,AA7:AA46),0),ROUND(PRODUCT(R47,AA7:AA46),1))</f>
        <v>#DIV/0!</v>
      </c>
      <c r="S48" s="3290"/>
      <c r="T48" s="3290" t="e">
        <f>IF(F1="售价",ROUND(PRODUCT(T47,AB7:AB46),0),ROUND(PRODUCT(T47,AB7:AB46),1))</f>
        <v>#DIV/0!</v>
      </c>
      <c r="U48" s="3290"/>
      <c r="V48" s="3290" t="e">
        <f>IF(F1="售价",ROUND(PRODUCT(V47,AC7:AC46),0),ROUND(PRODUCT(V47,AC7:AC46),1))</f>
        <v>#DIV/0!</v>
      </c>
      <c r="W48" s="3290"/>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9"/>
      <c r="L49" s="1146"/>
      <c r="M49" s="1147"/>
      <c r="N49" s="1147"/>
      <c r="O49" s="1147"/>
      <c r="P49" s="3247" t="str">
        <f>A49</f>
        <v>估价对象XX用房的比较价值（楼面单价，元/平方米）</v>
      </c>
      <c r="Q49" s="3248"/>
      <c r="R49" s="3291" t="e">
        <f>IF(F1="售价",ROUND(AVERAGE(R48:V48),0),ROUND(AVERAGE(R48:V48),1))</f>
        <v>#DIV/0!</v>
      </c>
      <c r="S49" s="3291"/>
      <c r="T49" s="3291"/>
      <c r="U49" s="3291"/>
      <c r="V49" s="3291"/>
      <c r="W49" s="32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M27" sqref="M2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t="s">
        <v>27</v>
      </c>
      <c r="E1" s="1633"/>
      <c r="F1" s="2590" t="s">
        <v>3255</v>
      </c>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f>IF(C2="——",ROUND(C50*D3/10000,0),ROUND(C50*D3/10000,0)-D2)</f>
        <v>3313</v>
      </c>
      <c r="C2" s="2592" t="s">
        <v>70</v>
      </c>
      <c r="D2" s="1368"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10533</v>
      </c>
      <c r="C3" s="400" t="s">
        <v>2645</v>
      </c>
      <c r="D3" s="399">
        <f>IF(D1="",'数据-汇总表'!E3,SUMIF('数据-汇总表'!$C19:$C33,D1,'数据-汇总表'!$E19:$E33))</f>
        <v>3144.8900000000003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50" t="s">
        <v>2647</v>
      </c>
      <c r="D4" s="3263"/>
      <c r="E4" s="3264" t="s">
        <v>2648</v>
      </c>
      <c r="F4" s="3265"/>
      <c r="G4" s="3250" t="s">
        <v>2649</v>
      </c>
      <c r="H4" s="3263"/>
      <c r="I4" s="3250" t="s">
        <v>2650</v>
      </c>
      <c r="J4" s="3263"/>
      <c r="K4" s="610" t="s">
        <v>2651</v>
      </c>
      <c r="L4" s="1133"/>
      <c r="M4" s="1134"/>
      <c r="N4" s="1134"/>
      <c r="O4" s="1134"/>
      <c r="P4" s="3336" t="s">
        <v>2652</v>
      </c>
      <c r="Q4" s="3337"/>
      <c r="R4" s="3340" t="s">
        <v>2648</v>
      </c>
      <c r="S4" s="3341"/>
      <c r="T4" s="3340" t="s">
        <v>2649</v>
      </c>
      <c r="U4" s="3341"/>
      <c r="V4" s="3342" t="s">
        <v>2650</v>
      </c>
      <c r="W4" s="3342"/>
      <c r="X4" s="2676"/>
      <c r="Y4" s="3340" t="s">
        <v>2652</v>
      </c>
      <c r="Z4" s="3341"/>
      <c r="AA4" s="3344" t="s">
        <v>2648</v>
      </c>
      <c r="AB4" s="3344" t="s">
        <v>2649</v>
      </c>
      <c r="AC4" s="3333" t="s">
        <v>2650</v>
      </c>
    </row>
    <row r="5" spans="1:29" ht="15">
      <c r="A5" s="404"/>
      <c r="B5" s="405"/>
      <c r="C5" s="3280" t="s">
        <v>2543</v>
      </c>
      <c r="D5" s="3281"/>
      <c r="E5" s="3299" t="s">
        <v>3278</v>
      </c>
      <c r="F5" s="3288"/>
      <c r="G5" s="3298" t="s">
        <v>3279</v>
      </c>
      <c r="H5" s="3281"/>
      <c r="I5" s="3298" t="s">
        <v>3280</v>
      </c>
      <c r="J5" s="3281"/>
      <c r="K5" s="610"/>
      <c r="L5" s="1133"/>
      <c r="M5" s="1134"/>
      <c r="N5" s="1134"/>
      <c r="O5" s="1134"/>
      <c r="P5" s="3338"/>
      <c r="Q5" s="3269"/>
      <c r="R5" s="3274"/>
      <c r="S5" s="3275"/>
      <c r="T5" s="3274"/>
      <c r="U5" s="3275"/>
      <c r="V5" s="3259"/>
      <c r="W5" s="3259"/>
      <c r="X5" s="1816"/>
      <c r="Y5" s="3274"/>
      <c r="Z5" s="3275"/>
      <c r="AA5" s="3261"/>
      <c r="AB5" s="3261"/>
      <c r="AC5" s="3334"/>
    </row>
    <row r="6" spans="1:29" ht="15.75" thickBot="1">
      <c r="A6" s="406"/>
      <c r="B6" s="407"/>
      <c r="C6" s="3278" t="s">
        <v>2547</v>
      </c>
      <c r="D6" s="3279"/>
      <c r="E6" s="3285" t="s">
        <v>2547</v>
      </c>
      <c r="F6" s="3286"/>
      <c r="G6" s="3278" t="s">
        <v>2547</v>
      </c>
      <c r="H6" s="3279"/>
      <c r="I6" s="3278" t="s">
        <v>2547</v>
      </c>
      <c r="J6" s="3279"/>
      <c r="K6" s="610" t="s">
        <v>2548</v>
      </c>
      <c r="L6" s="1133"/>
      <c r="M6" s="1134"/>
      <c r="N6" s="1134"/>
      <c r="O6" s="1134"/>
      <c r="P6" s="3339"/>
      <c r="Q6" s="3271"/>
      <c r="R6" s="3274"/>
      <c r="S6" s="3275"/>
      <c r="T6" s="3276"/>
      <c r="U6" s="3277"/>
      <c r="V6" s="3259"/>
      <c r="W6" s="3259"/>
      <c r="X6" s="1816"/>
      <c r="Y6" s="3276"/>
      <c r="Z6" s="3277"/>
      <c r="AA6" s="3262"/>
      <c r="AB6" s="3262"/>
      <c r="AC6" s="3335"/>
    </row>
    <row r="7" spans="1:29" s="117" customFormat="1" ht="15.75" thickBot="1">
      <c r="A7" s="408" t="s">
        <v>2549</v>
      </c>
      <c r="B7" s="409"/>
      <c r="C7" s="410">
        <f>'数据-取费表'!B2</f>
        <v>43532</v>
      </c>
      <c r="D7" s="411">
        <v>100</v>
      </c>
      <c r="E7" s="412">
        <v>43525</v>
      </c>
      <c r="F7" s="413">
        <f>SUMIF(59:59,YEAR(E7)&amp;"-"&amp;MONTH(E7),60:60)</f>
        <v>100</v>
      </c>
      <c r="G7" s="412">
        <v>43525</v>
      </c>
      <c r="H7" s="411">
        <f>SUMIF(59:59,YEAR(G7)&amp;"-"&amp;MONTH(G7),60:60)</f>
        <v>100</v>
      </c>
      <c r="I7" s="412">
        <v>43525</v>
      </c>
      <c r="J7" s="411">
        <f>SUMIF(59:59,YEAR(I7)&amp;"-"&amp;MONTH(I7),60:60)</f>
        <v>100</v>
      </c>
      <c r="K7" s="611"/>
      <c r="L7" s="1135"/>
      <c r="M7" s="1136"/>
      <c r="N7" s="1136"/>
      <c r="O7" s="1136"/>
      <c r="P7" s="3343" t="s">
        <v>2550</v>
      </c>
      <c r="Q7" s="3284"/>
      <c r="R7" s="770" t="s">
        <v>17</v>
      </c>
      <c r="S7" s="771">
        <f t="shared" ref="S7:S15" si="0">F7</f>
        <v>100</v>
      </c>
      <c r="T7" s="770" t="s">
        <v>17</v>
      </c>
      <c r="U7" s="771">
        <f t="shared" ref="U7:U15" si="1">H7</f>
        <v>100</v>
      </c>
      <c r="V7" s="770" t="s">
        <v>17</v>
      </c>
      <c r="W7" s="771">
        <f t="shared" ref="W7:W15" si="2">J7</f>
        <v>100</v>
      </c>
      <c r="X7" s="772"/>
      <c r="Y7" s="3282" t="s">
        <v>2550</v>
      </c>
      <c r="Z7" s="3283"/>
      <c r="AA7" s="773">
        <f>D7/F7</f>
        <v>1</v>
      </c>
      <c r="AB7" s="773">
        <f>D7/H7</f>
        <v>1</v>
      </c>
      <c r="AC7" s="2677">
        <f>D7/J7</f>
        <v>1</v>
      </c>
    </row>
    <row r="8" spans="1:29" s="117" customFormat="1" ht="15.75" thickBot="1">
      <c r="A8" s="408" t="s">
        <v>2551</v>
      </c>
      <c r="B8" s="409"/>
      <c r="C8" s="414" t="s">
        <v>2653</v>
      </c>
      <c r="D8" s="411">
        <v>100</v>
      </c>
      <c r="E8" s="3003" t="s">
        <v>3256</v>
      </c>
      <c r="F8" s="413">
        <f>SUMIF(62:62,E8,63:63)-SUMIF(62:62,C8,63:63)+100</f>
        <v>100</v>
      </c>
      <c r="G8" s="3003" t="s">
        <v>3256</v>
      </c>
      <c r="H8" s="411">
        <f>SUMIF(62:62,G8,63:63)-SUMIF(62:62,C8,63:63)+100</f>
        <v>100</v>
      </c>
      <c r="I8" s="3003" t="s">
        <v>3256</v>
      </c>
      <c r="J8" s="411">
        <f>SUMIF(62:62,I8,63:63)-SUMIF(62:62,C8,63:63)+100</f>
        <v>100</v>
      </c>
      <c r="K8" s="611"/>
      <c r="L8" s="1135"/>
      <c r="M8" s="1136"/>
      <c r="N8" s="1136"/>
      <c r="O8" s="1136"/>
      <c r="P8" s="3343" t="s">
        <v>2553</v>
      </c>
      <c r="Q8" s="3283"/>
      <c r="R8" s="770" t="s">
        <v>17</v>
      </c>
      <c r="S8" s="771">
        <f t="shared" si="0"/>
        <v>100</v>
      </c>
      <c r="T8" s="770" t="s">
        <v>17</v>
      </c>
      <c r="U8" s="771">
        <f t="shared" si="1"/>
        <v>100</v>
      </c>
      <c r="V8" s="770" t="s">
        <v>17</v>
      </c>
      <c r="W8" s="771">
        <f t="shared" si="2"/>
        <v>100</v>
      </c>
      <c r="X8" s="772"/>
      <c r="Y8" s="3282" t="s">
        <v>2553</v>
      </c>
      <c r="Z8" s="3283"/>
      <c r="AA8" s="773">
        <f t="shared" ref="AA8:AA47" si="3">D8/F8</f>
        <v>1</v>
      </c>
      <c r="AB8" s="773">
        <f t="shared" ref="AB8:AB47" si="4">D8/H8</f>
        <v>1</v>
      </c>
      <c r="AC8" s="2677">
        <f t="shared" ref="AC8:AC47" si="5">D8/J8</f>
        <v>1</v>
      </c>
    </row>
    <row r="9" spans="1:29" s="117" customFormat="1">
      <c r="A9" s="415" t="s">
        <v>2554</v>
      </c>
      <c r="B9" s="71" t="s">
        <v>2555</v>
      </c>
      <c r="C9" s="3004" t="s">
        <v>3257</v>
      </c>
      <c r="D9" s="135">
        <v>100</v>
      </c>
      <c r="E9" s="3005" t="s">
        <v>3257</v>
      </c>
      <c r="F9" s="135">
        <f>SUMIF(64:64,E9,65:65)-SUMIF(64:64,C9,65:65)+100</f>
        <v>100</v>
      </c>
      <c r="G9" s="3006" t="s">
        <v>3257</v>
      </c>
      <c r="H9" s="135">
        <f>SUMIF(64:64,G9,65:65)-SUMIF(64:64,C9,65:65)+100</f>
        <v>100</v>
      </c>
      <c r="I9" s="3006" t="s">
        <v>3257</v>
      </c>
      <c r="J9" s="135">
        <f>SUMIF(64:64,I9,65:65)-SUMIF(64:64,C9,65:65)+100</f>
        <v>100</v>
      </c>
      <c r="K9" s="611"/>
      <c r="L9" s="1135"/>
      <c r="M9" s="1136"/>
      <c r="N9" s="1136"/>
      <c r="O9" s="1136"/>
      <c r="P9" s="3252" t="s">
        <v>2556</v>
      </c>
      <c r="Q9" s="1798" t="str">
        <f t="shared" ref="Q9:Q15" si="6">B9</f>
        <v>用途</v>
      </c>
      <c r="R9" s="770" t="s">
        <v>17</v>
      </c>
      <c r="S9" s="771">
        <f t="shared" si="0"/>
        <v>100</v>
      </c>
      <c r="T9" s="770" t="s">
        <v>17</v>
      </c>
      <c r="U9" s="771">
        <f t="shared" si="1"/>
        <v>100</v>
      </c>
      <c r="V9" s="770" t="s">
        <v>17</v>
      </c>
      <c r="W9" s="771">
        <f t="shared" si="2"/>
        <v>100</v>
      </c>
      <c r="X9" s="772"/>
      <c r="Y9" s="3077" t="s">
        <v>2557</v>
      </c>
      <c r="Z9" s="55" t="str">
        <f t="shared" ref="Z9:Z15" si="7">Q9</f>
        <v>用途</v>
      </c>
      <c r="AA9" s="773">
        <f t="shared" si="3"/>
        <v>1</v>
      </c>
      <c r="AB9" s="773">
        <f t="shared" si="4"/>
        <v>1</v>
      </c>
      <c r="AC9" s="2677">
        <f t="shared" si="5"/>
        <v>1</v>
      </c>
    </row>
    <row r="10" spans="1:29" s="427" customFormat="1" ht="27">
      <c r="A10" s="421"/>
      <c r="B10" s="422" t="s">
        <v>2558</v>
      </c>
      <c r="C10" s="423" t="s">
        <v>3258</v>
      </c>
      <c r="D10" s="136">
        <v>100</v>
      </c>
      <c r="E10" s="423" t="s">
        <v>3258</v>
      </c>
      <c r="F10" s="136">
        <f>SUMIF(66:66,E10,67:67)-SUMIF(66:66,C10,67:67)+100</f>
        <v>100</v>
      </c>
      <c r="G10" s="424" t="s">
        <v>3258</v>
      </c>
      <c r="H10" s="136">
        <f>SUMIF(66:66,G10,67:67)-SUMIF(66:66,C10,67:67)+100</f>
        <v>100</v>
      </c>
      <c r="I10" s="423" t="s">
        <v>3258</v>
      </c>
      <c r="J10" s="136">
        <f>SUMIF(66:66,I10,67:67)-SUMIF(66:66,C10,67:67)+100</f>
        <v>100</v>
      </c>
      <c r="K10" s="612">
        <v>2</v>
      </c>
      <c r="L10" s="1138"/>
      <c r="M10" s="1139"/>
      <c r="N10" s="1139"/>
      <c r="O10" s="1139"/>
      <c r="P10" s="3252"/>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2677">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52"/>
      <c r="Q11" s="1798" t="str">
        <f t="shared" si="6"/>
        <v>容积率</v>
      </c>
      <c r="R11" s="770" t="s">
        <v>17</v>
      </c>
      <c r="S11" s="771">
        <f t="shared" si="0"/>
        <v>100</v>
      </c>
      <c r="T11" s="770" t="s">
        <v>17</v>
      </c>
      <c r="U11" s="771">
        <f t="shared" si="1"/>
        <v>100</v>
      </c>
      <c r="V11" s="770" t="s">
        <v>17</v>
      </c>
      <c r="W11" s="771">
        <f t="shared" si="2"/>
        <v>100</v>
      </c>
      <c r="X11" s="772"/>
      <c r="Y11" s="3077"/>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52"/>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52"/>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52"/>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2" t="s">
        <v>2561</v>
      </c>
      <c r="Q15" s="1813" t="str">
        <f t="shared" si="6"/>
        <v>办公集聚程度</v>
      </c>
      <c r="R15" s="774" t="s">
        <v>17</v>
      </c>
      <c r="S15" s="775">
        <f t="shared" si="0"/>
        <v>100</v>
      </c>
      <c r="T15" s="774" t="s">
        <v>17</v>
      </c>
      <c r="U15" s="775">
        <f t="shared" si="1"/>
        <v>100</v>
      </c>
      <c r="V15" s="774" t="s">
        <v>17</v>
      </c>
      <c r="W15" s="775">
        <f t="shared" si="2"/>
        <v>100</v>
      </c>
      <c r="X15" s="1816"/>
      <c r="Y15" s="3255" t="s">
        <v>2561</v>
      </c>
      <c r="Z15" s="1817" t="str">
        <f t="shared" si="7"/>
        <v>办公集聚程度</v>
      </c>
      <c r="AA15" s="1814">
        <f t="shared" si="3"/>
        <v>1</v>
      </c>
      <c r="AB15" s="1814">
        <f t="shared" si="4"/>
        <v>1</v>
      </c>
      <c r="AC15" s="2680">
        <f t="shared" si="5"/>
        <v>1</v>
      </c>
    </row>
    <row r="16" spans="1:29" ht="15">
      <c r="A16" s="428"/>
      <c r="B16" s="630"/>
      <c r="C16" s="2996" t="s">
        <v>3259</v>
      </c>
      <c r="D16" s="448"/>
      <c r="E16" s="2989" t="s">
        <v>3259</v>
      </c>
      <c r="F16" s="448"/>
      <c r="G16" s="2996" t="s">
        <v>3259</v>
      </c>
      <c r="H16" s="450"/>
      <c r="I16" s="2989" t="s">
        <v>3259</v>
      </c>
      <c r="J16" s="448"/>
      <c r="K16" s="615"/>
      <c r="L16" s="1143"/>
      <c r="M16" s="1134"/>
      <c r="N16" s="1134"/>
      <c r="O16" s="1134"/>
      <c r="P16" s="3293"/>
      <c r="Q16" s="1813"/>
      <c r="R16" s="774"/>
      <c r="S16" s="775"/>
      <c r="T16" s="774"/>
      <c r="U16" s="775"/>
      <c r="V16" s="774"/>
      <c r="W16" s="775"/>
      <c r="X16" s="1816"/>
      <c r="Y16" s="3256"/>
      <c r="Z16" s="1817"/>
      <c r="AA16" s="1814">
        <v>1</v>
      </c>
      <c r="AB16" s="1814">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3"/>
      <c r="Q17" s="1813" t="str">
        <f>B17</f>
        <v>交通便捷度</v>
      </c>
      <c r="R17" s="774" t="s">
        <v>17</v>
      </c>
      <c r="S17" s="775">
        <f>F17</f>
        <v>100</v>
      </c>
      <c r="T17" s="774" t="s">
        <v>17</v>
      </c>
      <c r="U17" s="775">
        <f>H17</f>
        <v>100</v>
      </c>
      <c r="V17" s="774" t="s">
        <v>17</v>
      </c>
      <c r="W17" s="775">
        <f>J17</f>
        <v>100</v>
      </c>
      <c r="X17" s="1816"/>
      <c r="Y17" s="3256"/>
      <c r="Z17" s="1817" t="str">
        <f>Q17</f>
        <v>交通便捷度</v>
      </c>
      <c r="AA17" s="1814">
        <f t="shared" si="3"/>
        <v>1</v>
      </c>
      <c r="AB17" s="1814">
        <f t="shared" si="4"/>
        <v>1</v>
      </c>
      <c r="AC17" s="2680">
        <f t="shared" si="5"/>
        <v>1</v>
      </c>
    </row>
    <row r="18" spans="1:29" ht="15">
      <c r="A18" s="428"/>
      <c r="B18" s="632"/>
      <c r="C18" s="3007" t="s">
        <v>3259</v>
      </c>
      <c r="D18" s="450"/>
      <c r="E18" s="2994" t="s">
        <v>3259</v>
      </c>
      <c r="F18" s="450"/>
      <c r="G18" s="2993" t="s">
        <v>3259</v>
      </c>
      <c r="H18" s="448"/>
      <c r="I18" s="2993" t="s">
        <v>3259</v>
      </c>
      <c r="J18" s="448"/>
      <c r="K18" s="615"/>
      <c r="L18" s="1143"/>
      <c r="M18" s="1134"/>
      <c r="N18" s="1134"/>
      <c r="O18" s="1134"/>
      <c r="P18" s="3293"/>
      <c r="Q18" s="1813"/>
      <c r="R18" s="774"/>
      <c r="S18" s="775"/>
      <c r="T18" s="774"/>
      <c r="U18" s="775"/>
      <c r="V18" s="774"/>
      <c r="W18" s="775"/>
      <c r="X18" s="1816"/>
      <c r="Y18" s="3256"/>
      <c r="Z18" s="1817"/>
      <c r="AA18" s="1814">
        <v>1</v>
      </c>
      <c r="AB18" s="1814">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3"/>
      <c r="Q19" s="1813" t="str">
        <f>B19</f>
        <v>公共配套设施</v>
      </c>
      <c r="R19" s="774" t="s">
        <v>17</v>
      </c>
      <c r="S19" s="775">
        <f>F19</f>
        <v>100</v>
      </c>
      <c r="T19" s="774" t="s">
        <v>17</v>
      </c>
      <c r="U19" s="775">
        <f>H19</f>
        <v>100</v>
      </c>
      <c r="V19" s="774" t="s">
        <v>17</v>
      </c>
      <c r="W19" s="775">
        <f>J19</f>
        <v>100</v>
      </c>
      <c r="X19" s="1816"/>
      <c r="Y19" s="3256"/>
      <c r="Z19" s="1817" t="str">
        <f>Q19</f>
        <v>公共配套设施</v>
      </c>
      <c r="AA19" s="1814">
        <f t="shared" si="3"/>
        <v>1</v>
      </c>
      <c r="AB19" s="1814">
        <f t="shared" si="4"/>
        <v>1</v>
      </c>
      <c r="AC19" s="2680">
        <f t="shared" si="5"/>
        <v>1</v>
      </c>
    </row>
    <row r="20" spans="1:29" ht="15">
      <c r="A20" s="428"/>
      <c r="B20" s="632"/>
      <c r="C20" s="2996" t="s">
        <v>3259</v>
      </c>
      <c r="D20" s="448"/>
      <c r="E20" s="2991" t="s">
        <v>3259</v>
      </c>
      <c r="F20" s="448"/>
      <c r="G20" s="2990" t="s">
        <v>3259</v>
      </c>
      <c r="H20" s="448"/>
      <c r="I20" s="2990" t="s">
        <v>3259</v>
      </c>
      <c r="J20" s="448"/>
      <c r="K20" s="615"/>
      <c r="L20" s="1143"/>
      <c r="M20" s="1134"/>
      <c r="N20" s="1134"/>
      <c r="O20" s="1134"/>
      <c r="P20" s="3293"/>
      <c r="Q20" s="1813"/>
      <c r="R20" s="774"/>
      <c r="S20" s="775"/>
      <c r="T20" s="774"/>
      <c r="U20" s="775"/>
      <c r="V20" s="774"/>
      <c r="W20" s="775"/>
      <c r="X20" s="1816"/>
      <c r="Y20" s="3256"/>
      <c r="Z20" s="1817"/>
      <c r="AA20" s="1814">
        <v>1</v>
      </c>
      <c r="AB20" s="1814">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3"/>
      <c r="Q21" s="1813" t="str">
        <f>B21</f>
        <v>基础设施水平</v>
      </c>
      <c r="R21" s="774" t="s">
        <v>17</v>
      </c>
      <c r="S21" s="775">
        <f>F21</f>
        <v>100</v>
      </c>
      <c r="T21" s="774" t="s">
        <v>17</v>
      </c>
      <c r="U21" s="775">
        <f>H21</f>
        <v>100</v>
      </c>
      <c r="V21" s="774" t="s">
        <v>17</v>
      </c>
      <c r="W21" s="775">
        <f>J21</f>
        <v>100</v>
      </c>
      <c r="X21" s="1816"/>
      <c r="Y21" s="3256"/>
      <c r="Z21" s="1817" t="str">
        <f>Q21</f>
        <v>基础设施水平</v>
      </c>
      <c r="AA21" s="1814">
        <f t="shared" ref="AA21" si="8">D21/F21</f>
        <v>1</v>
      </c>
      <c r="AB21" s="1814">
        <f t="shared" ref="AB21" si="9">D21/H21</f>
        <v>1</v>
      </c>
      <c r="AC21" s="2680">
        <f t="shared" ref="AC21" si="10">D21/J21</f>
        <v>1</v>
      </c>
    </row>
    <row r="22" spans="1:29" ht="15">
      <c r="A22" s="428"/>
      <c r="B22" s="633"/>
      <c r="C22" s="3007" t="s">
        <v>3260</v>
      </c>
      <c r="D22" s="448"/>
      <c r="E22" s="2989" t="s">
        <v>3260</v>
      </c>
      <c r="F22" s="448"/>
      <c r="G22" s="2996" t="s">
        <v>3260</v>
      </c>
      <c r="H22" s="448"/>
      <c r="I22" s="2996" t="s">
        <v>3261</v>
      </c>
      <c r="J22" s="448"/>
      <c r="K22" s="1386"/>
      <c r="L22" s="1143"/>
      <c r="M22" s="1134"/>
      <c r="N22" s="1134"/>
      <c r="O22" s="1134"/>
      <c r="P22" s="3293"/>
      <c r="Q22" s="1813"/>
      <c r="R22" s="774"/>
      <c r="S22" s="775"/>
      <c r="T22" s="774"/>
      <c r="U22" s="775"/>
      <c r="V22" s="774"/>
      <c r="W22" s="775"/>
      <c r="X22" s="1816"/>
      <c r="Y22" s="3256"/>
      <c r="Z22" s="1817"/>
      <c r="AA22" s="1814">
        <v>1</v>
      </c>
      <c r="AB22" s="1814">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3"/>
      <c r="Q23" s="1813" t="str">
        <f>B23</f>
        <v>环境质量</v>
      </c>
      <c r="R23" s="774" t="s">
        <v>17</v>
      </c>
      <c r="S23" s="775">
        <f>F23</f>
        <v>100</v>
      </c>
      <c r="T23" s="774" t="s">
        <v>17</v>
      </c>
      <c r="U23" s="775">
        <f>H23</f>
        <v>100</v>
      </c>
      <c r="V23" s="774" t="s">
        <v>17</v>
      </c>
      <c r="W23" s="775">
        <f>J23</f>
        <v>100</v>
      </c>
      <c r="X23" s="1816"/>
      <c r="Y23" s="3256"/>
      <c r="Z23" s="1817" t="str">
        <f>Q23</f>
        <v>环境质量</v>
      </c>
      <c r="AA23" s="1814">
        <f t="shared" si="3"/>
        <v>1</v>
      </c>
      <c r="AB23" s="1814">
        <f t="shared" si="4"/>
        <v>1</v>
      </c>
      <c r="AC23" s="2680">
        <f t="shared" si="5"/>
        <v>1</v>
      </c>
    </row>
    <row r="24" spans="1:29" ht="15">
      <c r="A24" s="428"/>
      <c r="B24" s="633"/>
      <c r="C24" s="2996" t="s">
        <v>3259</v>
      </c>
      <c r="D24" s="448"/>
      <c r="E24" s="2991" t="s">
        <v>3259</v>
      </c>
      <c r="F24" s="448"/>
      <c r="G24" s="2990" t="s">
        <v>3259</v>
      </c>
      <c r="H24" s="448"/>
      <c r="I24" s="2990" t="s">
        <v>3259</v>
      </c>
      <c r="J24" s="448"/>
      <c r="K24" s="615"/>
      <c r="L24" s="1143"/>
      <c r="M24" s="1134"/>
      <c r="N24" s="1134"/>
      <c r="O24" s="1134"/>
      <c r="P24" s="3293"/>
      <c r="Q24" s="1813"/>
      <c r="R24" s="774"/>
      <c r="S24" s="775"/>
      <c r="T24" s="774"/>
      <c r="U24" s="775"/>
      <c r="V24" s="774"/>
      <c r="W24" s="775"/>
      <c r="X24" s="1816"/>
      <c r="Y24" s="3256"/>
      <c r="Z24" s="1817"/>
      <c r="AA24" s="1814">
        <v>1</v>
      </c>
      <c r="AB24" s="1814">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93"/>
      <c r="Q25" s="1813" t="str">
        <f>B25</f>
        <v>毗邻道路的类型与等级</v>
      </c>
      <c r="R25" s="774" t="s">
        <v>17</v>
      </c>
      <c r="S25" s="775">
        <f>F25</f>
        <v>100</v>
      </c>
      <c r="T25" s="774" t="s">
        <v>17</v>
      </c>
      <c r="U25" s="775">
        <f>H25</f>
        <v>100</v>
      </c>
      <c r="V25" s="774" t="s">
        <v>17</v>
      </c>
      <c r="W25" s="775">
        <f>J25</f>
        <v>100</v>
      </c>
      <c r="X25" s="1816"/>
      <c r="Y25" s="3256"/>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93"/>
      <c r="Q26" s="1813"/>
      <c r="R26" s="774"/>
      <c r="S26" s="775"/>
      <c r="T26" s="774"/>
      <c r="U26" s="775"/>
      <c r="V26" s="774"/>
      <c r="W26" s="775"/>
      <c r="X26" s="1816"/>
      <c r="Y26" s="3256"/>
      <c r="Z26" s="1817"/>
      <c r="AA26" s="1814">
        <v>1</v>
      </c>
      <c r="AB26" s="1814">
        <v>1</v>
      </c>
      <c r="AC26" s="2680">
        <v>1</v>
      </c>
    </row>
    <row r="27" spans="1:29" ht="15">
      <c r="A27" s="428"/>
      <c r="B27" s="632" t="s">
        <v>2660</v>
      </c>
      <c r="C27" s="3029" t="s">
        <v>3319</v>
      </c>
      <c r="D27" s="435">
        <v>100</v>
      </c>
      <c r="E27" s="2995" t="s">
        <v>3319</v>
      </c>
      <c r="F27" s="435">
        <f>SUMIF(89:89,E27,90:90)-SUMIF(89:89,C27,90:90)+100</f>
        <v>100</v>
      </c>
      <c r="G27" s="3030" t="s">
        <v>3319</v>
      </c>
      <c r="H27" s="435">
        <f>SUMIF(89:89,G27,90:90)-SUMIF(89:89,C27,90:90)+100</f>
        <v>100</v>
      </c>
      <c r="I27" s="2995" t="s">
        <v>3319</v>
      </c>
      <c r="J27" s="435">
        <f>SUMIF(89:89,I27,90:90)-SUMIF(89:89,C27,90:90)+100</f>
        <v>100</v>
      </c>
      <c r="K27" s="612"/>
      <c r="L27" s="1143"/>
      <c r="M27" s="1134"/>
      <c r="N27" s="1134"/>
      <c r="O27" s="1134"/>
      <c r="P27" s="3293"/>
      <c r="Q27" s="1813" t="str">
        <f t="shared" ref="Q27:Q47" si="11">B27</f>
        <v>楼层</v>
      </c>
      <c r="R27" s="774" t="s">
        <v>17</v>
      </c>
      <c r="S27" s="775">
        <f>F27</f>
        <v>100</v>
      </c>
      <c r="T27" s="774" t="s">
        <v>17</v>
      </c>
      <c r="U27" s="775">
        <f>H27</f>
        <v>100</v>
      </c>
      <c r="V27" s="774" t="s">
        <v>17</v>
      </c>
      <c r="W27" s="775">
        <f>J27</f>
        <v>100</v>
      </c>
      <c r="X27" s="1816"/>
      <c r="Y27" s="3256"/>
      <c r="Z27" s="1817" t="str">
        <f>Q27</f>
        <v>楼层</v>
      </c>
      <c r="AA27" s="1814">
        <f t="shared" si="3"/>
        <v>1</v>
      </c>
      <c r="AB27" s="1814">
        <f t="shared" si="4"/>
        <v>1</v>
      </c>
      <c r="AC27" s="2680">
        <f t="shared" si="5"/>
        <v>1</v>
      </c>
    </row>
    <row r="28" spans="1:29" s="117" customFormat="1" ht="15">
      <c r="A28" s="431"/>
      <c r="B28" s="631" t="s">
        <v>2693</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293"/>
      <c r="Q28" s="1798" t="str">
        <f t="shared" si="11"/>
        <v>朝向</v>
      </c>
      <c r="R28" s="770" t="s">
        <v>17</v>
      </c>
      <c r="S28" s="771">
        <f>F28</f>
        <v>100</v>
      </c>
      <c r="T28" s="770" t="s">
        <v>17</v>
      </c>
      <c r="U28" s="771">
        <f>H28</f>
        <v>100</v>
      </c>
      <c r="V28" s="770" t="s">
        <v>17</v>
      </c>
      <c r="W28" s="771">
        <f>J28</f>
        <v>100</v>
      </c>
      <c r="X28" s="772"/>
      <c r="Y28" s="3256"/>
      <c r="Z28" s="55" t="str">
        <f>Q28</f>
        <v>朝向</v>
      </c>
      <c r="AA28" s="1814">
        <f>D28/F28</f>
        <v>1</v>
      </c>
      <c r="AB28" s="1814">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93"/>
      <c r="Q29" s="1813">
        <f t="shared" si="11"/>
        <v>111</v>
      </c>
      <c r="R29" s="774" t="s">
        <v>17</v>
      </c>
      <c r="S29" s="775">
        <f t="shared" ref="S29:S47" si="12">F29</f>
        <v>100</v>
      </c>
      <c r="T29" s="774" t="s">
        <v>17</v>
      </c>
      <c r="U29" s="775">
        <f t="shared" ref="U29:U47" si="13">H29</f>
        <v>100</v>
      </c>
      <c r="V29" s="774" t="s">
        <v>17</v>
      </c>
      <c r="W29" s="775">
        <f t="shared" ref="W29:W47" si="14">J29</f>
        <v>100</v>
      </c>
      <c r="X29" s="1816"/>
      <c r="Y29" s="3256"/>
      <c r="Z29" s="1817">
        <f t="shared" ref="Z29:Z47" si="15">Q29</f>
        <v>111</v>
      </c>
      <c r="AA29" s="1814">
        <f t="shared" si="3"/>
        <v>1</v>
      </c>
      <c r="AB29" s="1814">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93"/>
      <c r="Q30" s="1813">
        <f t="shared" si="11"/>
        <v>111</v>
      </c>
      <c r="R30" s="774" t="s">
        <v>17</v>
      </c>
      <c r="S30" s="775">
        <f t="shared" si="12"/>
        <v>100</v>
      </c>
      <c r="T30" s="774" t="s">
        <v>17</v>
      </c>
      <c r="U30" s="775">
        <f t="shared" si="13"/>
        <v>100</v>
      </c>
      <c r="V30" s="774" t="s">
        <v>17</v>
      </c>
      <c r="W30" s="775">
        <f t="shared" si="14"/>
        <v>100</v>
      </c>
      <c r="X30" s="1816"/>
      <c r="Y30" s="3256"/>
      <c r="Z30" s="1817">
        <f t="shared" si="15"/>
        <v>111</v>
      </c>
      <c r="AA30" s="1814">
        <f t="shared" si="3"/>
        <v>1</v>
      </c>
      <c r="AB30" s="1814">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93"/>
      <c r="Q31" s="1813">
        <f t="shared" si="11"/>
        <v>111</v>
      </c>
      <c r="R31" s="774" t="s">
        <v>17</v>
      </c>
      <c r="S31" s="775">
        <f t="shared" si="12"/>
        <v>100</v>
      </c>
      <c r="T31" s="774" t="s">
        <v>17</v>
      </c>
      <c r="U31" s="775">
        <f t="shared" si="13"/>
        <v>100</v>
      </c>
      <c r="V31" s="774" t="s">
        <v>17</v>
      </c>
      <c r="W31" s="775">
        <f t="shared" si="14"/>
        <v>100</v>
      </c>
      <c r="X31" s="1816"/>
      <c r="Y31" s="3256"/>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93"/>
      <c r="Q32" s="1813">
        <f t="shared" si="11"/>
        <v>111</v>
      </c>
      <c r="R32" s="774" t="s">
        <v>17</v>
      </c>
      <c r="S32" s="775">
        <f t="shared" si="12"/>
        <v>100</v>
      </c>
      <c r="T32" s="774" t="s">
        <v>17</v>
      </c>
      <c r="U32" s="775">
        <f t="shared" si="13"/>
        <v>100</v>
      </c>
      <c r="V32" s="774" t="s">
        <v>17</v>
      </c>
      <c r="W32" s="775">
        <f t="shared" si="14"/>
        <v>100</v>
      </c>
      <c r="X32" s="1816"/>
      <c r="Y32" s="3256"/>
      <c r="Z32" s="1817">
        <f t="shared" si="15"/>
        <v>111</v>
      </c>
      <c r="AA32" s="1814">
        <f t="shared" si="3"/>
        <v>1</v>
      </c>
      <c r="AB32" s="1814">
        <f t="shared" si="4"/>
        <v>1</v>
      </c>
      <c r="AC32" s="2680">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94" t="s">
        <v>2566</v>
      </c>
      <c r="Q33" s="1813" t="str">
        <f t="shared" si="11"/>
        <v>建筑类型</v>
      </c>
      <c r="R33" s="774" t="s">
        <v>17</v>
      </c>
      <c r="S33" s="775">
        <f t="shared" si="12"/>
        <v>100</v>
      </c>
      <c r="T33" s="774" t="s">
        <v>17</v>
      </c>
      <c r="U33" s="775">
        <f t="shared" si="13"/>
        <v>100</v>
      </c>
      <c r="V33" s="774" t="s">
        <v>17</v>
      </c>
      <c r="W33" s="775">
        <f t="shared" si="14"/>
        <v>100</v>
      </c>
      <c r="X33" s="1816"/>
      <c r="Y33" s="3258" t="s">
        <v>2566</v>
      </c>
      <c r="Z33" s="1817" t="str">
        <f t="shared" si="15"/>
        <v>建筑类型</v>
      </c>
      <c r="AA33" s="1814">
        <f t="shared" si="3"/>
        <v>1</v>
      </c>
      <c r="AB33" s="1814">
        <f t="shared" si="4"/>
        <v>1</v>
      </c>
      <c r="AC33" s="2680">
        <f t="shared" si="5"/>
        <v>1</v>
      </c>
    </row>
    <row r="34" spans="1:29" s="471" customFormat="1" ht="15">
      <c r="A34" s="468"/>
      <c r="B34" s="422" t="s">
        <v>2567</v>
      </c>
      <c r="C34" s="469">
        <v>480.71</v>
      </c>
      <c r="D34" s="136">
        <v>100</v>
      </c>
      <c r="E34" s="430">
        <v>500</v>
      </c>
      <c r="F34" s="425">
        <f>LOOKUP(E34,104:104,105:105)-LOOKUP(C34,104:104,105:105)+100</f>
        <v>102</v>
      </c>
      <c r="G34" s="429">
        <v>800</v>
      </c>
      <c r="H34" s="136">
        <f>LOOKUP(G34,104:104,105:105)-LOOKUP(C34,104:104,105:105)+100</f>
        <v>102</v>
      </c>
      <c r="I34" s="429">
        <v>460</v>
      </c>
      <c r="J34" s="136">
        <f>LOOKUP(I34,104:104,105:105)-LOOKUP(C34,104:104,105:105)+100</f>
        <v>100</v>
      </c>
      <c r="K34" s="613"/>
      <c r="L34" s="1141"/>
      <c r="M34" s="1144"/>
      <c r="N34" s="1144"/>
      <c r="O34" s="1144"/>
      <c r="P34" s="3295"/>
      <c r="Q34" s="776" t="str">
        <f t="shared" si="11"/>
        <v>项目建筑规模</v>
      </c>
      <c r="R34" s="777" t="s">
        <v>17</v>
      </c>
      <c r="S34" s="778">
        <f t="shared" si="12"/>
        <v>102</v>
      </c>
      <c r="T34" s="777" t="s">
        <v>17</v>
      </c>
      <c r="U34" s="778">
        <f t="shared" si="13"/>
        <v>102</v>
      </c>
      <c r="V34" s="777" t="s">
        <v>17</v>
      </c>
      <c r="W34" s="778">
        <f t="shared" si="14"/>
        <v>100</v>
      </c>
      <c r="X34" s="779"/>
      <c r="Y34" s="3258"/>
      <c r="Z34" s="780" t="str">
        <f t="shared" si="15"/>
        <v>项目建筑规模</v>
      </c>
      <c r="AA34" s="1814">
        <f t="shared" si="3"/>
        <v>0.98039215686274506</v>
      </c>
      <c r="AB34" s="1814">
        <f t="shared" si="4"/>
        <v>0.98039215686274506</v>
      </c>
      <c r="AC34" s="2680">
        <f t="shared" si="5"/>
        <v>1</v>
      </c>
    </row>
    <row r="35" spans="1:29" ht="15">
      <c r="A35" s="472"/>
      <c r="B35" s="422" t="s">
        <v>2568</v>
      </c>
      <c r="C35" s="3008" t="s">
        <v>3262</v>
      </c>
      <c r="D35" s="435">
        <v>100</v>
      </c>
      <c r="E35" s="3008" t="s">
        <v>3262</v>
      </c>
      <c r="F35" s="461">
        <f>SUMIF(106:106,E35,107:107)-SUMIF(106:106,C35,107:107)+100</f>
        <v>100</v>
      </c>
      <c r="G35" s="3008" t="s">
        <v>3263</v>
      </c>
      <c r="H35" s="435">
        <f>SUMIF(106:106,G35,107:107)-SUMIF(106:106,C35,107:107)+100</f>
        <v>100</v>
      </c>
      <c r="I35" s="3008" t="s">
        <v>3262</v>
      </c>
      <c r="J35" s="435">
        <f>SUMIF(106:106,I35,107:107)-SUMIF(106:106,C35,107:107)+100</f>
        <v>100</v>
      </c>
      <c r="K35" s="612"/>
      <c r="L35" s="1143"/>
      <c r="M35" s="1134"/>
      <c r="N35" s="1134"/>
      <c r="O35" s="1134"/>
      <c r="P35" s="3295"/>
      <c r="Q35" s="1813" t="str">
        <f t="shared" si="11"/>
        <v>建筑结构</v>
      </c>
      <c r="R35" s="774" t="s">
        <v>17</v>
      </c>
      <c r="S35" s="775">
        <f t="shared" si="12"/>
        <v>100</v>
      </c>
      <c r="T35" s="774" t="s">
        <v>17</v>
      </c>
      <c r="U35" s="775">
        <f t="shared" si="13"/>
        <v>100</v>
      </c>
      <c r="V35" s="774" t="s">
        <v>17</v>
      </c>
      <c r="W35" s="775">
        <f t="shared" si="14"/>
        <v>100</v>
      </c>
      <c r="X35" s="1816"/>
      <c r="Y35" s="3258"/>
      <c r="Z35" s="1817" t="str">
        <f t="shared" si="15"/>
        <v>建筑结构</v>
      </c>
      <c r="AA35" s="1814">
        <f t="shared" si="3"/>
        <v>1</v>
      </c>
      <c r="AB35" s="1814">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5"/>
      <c r="Q36" s="1813" t="str">
        <f t="shared" si="11"/>
        <v>公共部分装修</v>
      </c>
      <c r="R36" s="774" t="s">
        <v>17</v>
      </c>
      <c r="S36" s="775">
        <f t="shared" si="12"/>
        <v>100</v>
      </c>
      <c r="T36" s="774" t="s">
        <v>17</v>
      </c>
      <c r="U36" s="775">
        <f t="shared" si="13"/>
        <v>100</v>
      </c>
      <c r="V36" s="774" t="s">
        <v>17</v>
      </c>
      <c r="W36" s="775">
        <f t="shared" si="14"/>
        <v>100</v>
      </c>
      <c r="X36" s="1816"/>
      <c r="Y36" s="3258"/>
      <c r="Z36" s="1817" t="str">
        <f t="shared" si="15"/>
        <v>公共部分装修</v>
      </c>
      <c r="AA36" s="1814">
        <f t="shared" si="3"/>
        <v>1</v>
      </c>
      <c r="AB36" s="1814">
        <f t="shared" si="4"/>
        <v>1</v>
      </c>
      <c r="AC36" s="2680">
        <f t="shared" si="5"/>
        <v>1</v>
      </c>
    </row>
    <row r="37" spans="1:29" ht="15">
      <c r="A37" s="472"/>
      <c r="B37" s="422" t="s">
        <v>2663</v>
      </c>
      <c r="C37" s="474">
        <f>'数据-取费表'!N6</f>
        <v>0.88</v>
      </c>
      <c r="D37" s="435">
        <v>100</v>
      </c>
      <c r="E37" s="474">
        <v>0.92</v>
      </c>
      <c r="F37" s="461">
        <f>LOOKUP(E37,111:111,112:112)-LOOKUP(C37,111:111,112:112)+100</f>
        <v>100</v>
      </c>
      <c r="G37" s="474">
        <v>0.9</v>
      </c>
      <c r="H37" s="461">
        <f>LOOKUP(G37,111:111,112:112)-LOOKUP(C37,111:111,112:112)+100</f>
        <v>100</v>
      </c>
      <c r="I37" s="474">
        <v>0.92</v>
      </c>
      <c r="J37" s="435">
        <f>LOOKUP(I37,111:111,112:112)-LOOKUP(C37,111:111,112:112)+100</f>
        <v>100</v>
      </c>
      <c r="K37" s="612"/>
      <c r="L37" s="1143"/>
      <c r="M37" s="1134"/>
      <c r="N37" s="1134"/>
      <c r="O37" s="1134"/>
      <c r="P37" s="3295"/>
      <c r="Q37" s="1813" t="str">
        <f t="shared" si="11"/>
        <v>成新度</v>
      </c>
      <c r="R37" s="774" t="s">
        <v>17</v>
      </c>
      <c r="S37" s="775">
        <f t="shared" si="12"/>
        <v>100</v>
      </c>
      <c r="T37" s="774" t="s">
        <v>17</v>
      </c>
      <c r="U37" s="775">
        <f t="shared" si="13"/>
        <v>100</v>
      </c>
      <c r="V37" s="774" t="s">
        <v>17</v>
      </c>
      <c r="W37" s="775">
        <f t="shared" si="14"/>
        <v>100</v>
      </c>
      <c r="X37" s="1816"/>
      <c r="Y37" s="3258"/>
      <c r="Z37" s="1817" t="str">
        <f t="shared" si="15"/>
        <v>成新度</v>
      </c>
      <c r="AA37" s="1814">
        <f t="shared" si="3"/>
        <v>1</v>
      </c>
      <c r="AB37" s="1814">
        <f t="shared" si="4"/>
        <v>1</v>
      </c>
      <c r="AC37" s="2680">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5"/>
      <c r="Q38" s="1798" t="str">
        <f t="shared" si="11"/>
        <v>写字楼等级</v>
      </c>
      <c r="R38" s="770" t="s">
        <v>17</v>
      </c>
      <c r="S38" s="771">
        <f t="shared" si="12"/>
        <v>100</v>
      </c>
      <c r="T38" s="770" t="s">
        <v>17</v>
      </c>
      <c r="U38" s="771">
        <f t="shared" si="13"/>
        <v>100</v>
      </c>
      <c r="V38" s="770" t="s">
        <v>17</v>
      </c>
      <c r="W38" s="771">
        <f t="shared" si="14"/>
        <v>100</v>
      </c>
      <c r="X38" s="772"/>
      <c r="Y38" s="3258"/>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5" t="s">
        <v>2566</v>
      </c>
      <c r="Q39" s="1813" t="str">
        <f t="shared" si="11"/>
        <v>物业管理</v>
      </c>
      <c r="R39" s="774" t="s">
        <v>17</v>
      </c>
      <c r="S39" s="775">
        <f t="shared" si="12"/>
        <v>100</v>
      </c>
      <c r="T39" s="774" t="s">
        <v>17</v>
      </c>
      <c r="U39" s="775">
        <f t="shared" si="13"/>
        <v>100</v>
      </c>
      <c r="V39" s="774" t="s">
        <v>17</v>
      </c>
      <c r="W39" s="775">
        <f t="shared" si="14"/>
        <v>100</v>
      </c>
      <c r="X39" s="1816"/>
      <c r="Y39" s="3258" t="s">
        <v>2566</v>
      </c>
      <c r="Z39" s="1817" t="str">
        <f t="shared" si="15"/>
        <v>物业管理</v>
      </c>
      <c r="AA39" s="1814">
        <f t="shared" si="3"/>
        <v>1</v>
      </c>
      <c r="AB39" s="1814">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5"/>
      <c r="Q40" s="1813" t="str">
        <f t="shared" si="11"/>
        <v>市政基础设施</v>
      </c>
      <c r="R40" s="774" t="s">
        <v>17</v>
      </c>
      <c r="S40" s="775">
        <f t="shared" si="12"/>
        <v>100</v>
      </c>
      <c r="T40" s="774" t="s">
        <v>17</v>
      </c>
      <c r="U40" s="775">
        <f t="shared" si="13"/>
        <v>100</v>
      </c>
      <c r="V40" s="774" t="s">
        <v>17</v>
      </c>
      <c r="W40" s="775">
        <f t="shared" si="14"/>
        <v>100</v>
      </c>
      <c r="X40" s="1816"/>
      <c r="Y40" s="3258"/>
      <c r="Z40" s="1817" t="str">
        <f t="shared" si="15"/>
        <v>市政基础设施</v>
      </c>
      <c r="AA40" s="1814">
        <f t="shared" si="3"/>
        <v>1</v>
      </c>
      <c r="AB40" s="1814">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5"/>
      <c r="Q41" s="1813" t="str">
        <f t="shared" si="11"/>
        <v>层高</v>
      </c>
      <c r="R41" s="774" t="s">
        <v>17</v>
      </c>
      <c r="S41" s="775">
        <f t="shared" si="12"/>
        <v>100</v>
      </c>
      <c r="T41" s="774" t="s">
        <v>17</v>
      </c>
      <c r="U41" s="775">
        <f t="shared" si="13"/>
        <v>100</v>
      </c>
      <c r="V41" s="774" t="s">
        <v>17</v>
      </c>
      <c r="W41" s="775">
        <f t="shared" si="14"/>
        <v>100</v>
      </c>
      <c r="X41" s="1816"/>
      <c r="Y41" s="3258"/>
      <c r="Z41" s="1817" t="str">
        <f t="shared" si="15"/>
        <v>层高</v>
      </c>
      <c r="AA41" s="1814">
        <f t="shared" si="3"/>
        <v>1</v>
      </c>
      <c r="AB41" s="1814">
        <f t="shared" si="4"/>
        <v>1</v>
      </c>
      <c r="AC41" s="2680">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5"/>
      <c r="Q42" s="776" t="str">
        <f t="shared" si="11"/>
        <v>单套建筑面积</v>
      </c>
      <c r="R42" s="777" t="s">
        <v>17</v>
      </c>
      <c r="S42" s="778">
        <f t="shared" si="12"/>
        <v>100</v>
      </c>
      <c r="T42" s="777" t="s">
        <v>17</v>
      </c>
      <c r="U42" s="778">
        <f t="shared" si="13"/>
        <v>100</v>
      </c>
      <c r="V42" s="777" t="s">
        <v>17</v>
      </c>
      <c r="W42" s="778">
        <f t="shared" si="14"/>
        <v>100</v>
      </c>
      <c r="X42" s="779"/>
      <c r="Y42" s="3258"/>
      <c r="Z42" s="780" t="str">
        <f t="shared" si="15"/>
        <v>单套建筑面积</v>
      </c>
      <c r="AA42" s="1814">
        <f t="shared" si="3"/>
        <v>1</v>
      </c>
      <c r="AB42" s="1814">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5"/>
      <c r="Q43" s="1813" t="str">
        <f t="shared" si="11"/>
        <v>内部装修</v>
      </c>
      <c r="R43" s="774" t="s">
        <v>17</v>
      </c>
      <c r="S43" s="775">
        <f t="shared" si="12"/>
        <v>100</v>
      </c>
      <c r="T43" s="774" t="s">
        <v>17</v>
      </c>
      <c r="U43" s="775">
        <f t="shared" si="13"/>
        <v>100</v>
      </c>
      <c r="V43" s="774" t="s">
        <v>17</v>
      </c>
      <c r="W43" s="775">
        <f t="shared" si="14"/>
        <v>100</v>
      </c>
      <c r="X43" s="1816"/>
      <c r="Y43" s="3258"/>
      <c r="Z43" s="1817" t="str">
        <f t="shared" si="15"/>
        <v>内部装修</v>
      </c>
      <c r="AA43" s="1814">
        <f t="shared" si="3"/>
        <v>1</v>
      </c>
      <c r="AB43" s="1814">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95"/>
      <c r="Q44" s="1813" t="str">
        <f t="shared" si="11"/>
        <v>内部装修维护情况</v>
      </c>
      <c r="R44" s="774" t="s">
        <v>17</v>
      </c>
      <c r="S44" s="775">
        <f t="shared" si="12"/>
        <v>100</v>
      </c>
      <c r="T44" s="774" t="s">
        <v>17</v>
      </c>
      <c r="U44" s="775">
        <f t="shared" si="13"/>
        <v>100</v>
      </c>
      <c r="V44" s="774" t="s">
        <v>17</v>
      </c>
      <c r="W44" s="775">
        <f t="shared" si="14"/>
        <v>100</v>
      </c>
      <c r="X44" s="1816"/>
      <c r="Y44" s="3258"/>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5"/>
      <c r="Q45" s="1798">
        <f t="shared" si="11"/>
        <v>111</v>
      </c>
      <c r="R45" s="770" t="s">
        <v>17</v>
      </c>
      <c r="S45" s="771">
        <f t="shared" si="12"/>
        <v>100</v>
      </c>
      <c r="T45" s="770" t="s">
        <v>17</v>
      </c>
      <c r="U45" s="771">
        <f t="shared" si="13"/>
        <v>100</v>
      </c>
      <c r="V45" s="770" t="s">
        <v>17</v>
      </c>
      <c r="W45" s="771">
        <f t="shared" si="14"/>
        <v>100</v>
      </c>
      <c r="X45" s="772"/>
      <c r="Y45" s="325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5"/>
      <c r="Q46" s="1813">
        <f t="shared" si="11"/>
        <v>111</v>
      </c>
      <c r="R46" s="774" t="s">
        <v>17</v>
      </c>
      <c r="S46" s="775">
        <f t="shared" si="12"/>
        <v>100</v>
      </c>
      <c r="T46" s="774" t="s">
        <v>17</v>
      </c>
      <c r="U46" s="775">
        <f t="shared" si="13"/>
        <v>100</v>
      </c>
      <c r="V46" s="774" t="s">
        <v>17</v>
      </c>
      <c r="W46" s="775">
        <f t="shared" si="14"/>
        <v>100</v>
      </c>
      <c r="X46" s="1816"/>
      <c r="Y46" s="3258"/>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96"/>
      <c r="Q47" s="1813">
        <f t="shared" si="11"/>
        <v>111</v>
      </c>
      <c r="R47" s="774" t="s">
        <v>17</v>
      </c>
      <c r="S47" s="775">
        <f t="shared" si="12"/>
        <v>100</v>
      </c>
      <c r="T47" s="774" t="s">
        <v>17</v>
      </c>
      <c r="U47" s="775">
        <f t="shared" si="13"/>
        <v>100</v>
      </c>
      <c r="V47" s="774" t="s">
        <v>17</v>
      </c>
      <c r="W47" s="775">
        <f t="shared" si="14"/>
        <v>100</v>
      </c>
      <c r="X47" s="1816"/>
      <c r="Y47" s="3297"/>
      <c r="Z47" s="1817">
        <f t="shared" si="15"/>
        <v>111</v>
      </c>
      <c r="AA47" s="1814">
        <f t="shared" si="3"/>
        <v>1</v>
      </c>
      <c r="AB47" s="1814">
        <f t="shared" si="4"/>
        <v>1</v>
      </c>
      <c r="AC47" s="2680">
        <f t="shared" si="5"/>
        <v>1</v>
      </c>
    </row>
    <row r="48" spans="1:29" ht="15">
      <c r="A48" s="479" t="s">
        <v>2578</v>
      </c>
      <c r="B48" s="480"/>
      <c r="C48" s="1410" t="s">
        <v>1</v>
      </c>
      <c r="D48" s="1411"/>
      <c r="E48" s="1412">
        <v>10500</v>
      </c>
      <c r="F48" s="1413"/>
      <c r="G48" s="1414">
        <v>10000</v>
      </c>
      <c r="H48" s="1415"/>
      <c r="I48" s="1412">
        <v>11500</v>
      </c>
      <c r="J48" s="485"/>
      <c r="K48" s="783"/>
      <c r="L48" s="1146"/>
      <c r="M48" s="1134"/>
      <c r="N48" s="1134"/>
      <c r="O48" s="1134"/>
      <c r="P48" s="3252" t="str">
        <f>A48</f>
        <v>成交单价（元/平方米）</v>
      </c>
      <c r="Q48" s="3253"/>
      <c r="R48" s="3290">
        <f>E48</f>
        <v>10500</v>
      </c>
      <c r="S48" s="3290"/>
      <c r="T48" s="3290">
        <f>G48</f>
        <v>10000</v>
      </c>
      <c r="U48" s="3290"/>
      <c r="V48" s="3290">
        <f>I48</f>
        <v>11500</v>
      </c>
      <c r="W48" s="3290"/>
      <c r="X48" s="446"/>
      <c r="Y48" s="781"/>
      <c r="Z48" s="446"/>
      <c r="AA48" s="446"/>
      <c r="AB48" s="446"/>
      <c r="AC48" s="630"/>
    </row>
    <row r="49" spans="1:29" ht="15.75" thickBot="1">
      <c r="A49" s="486" t="s">
        <v>2670</v>
      </c>
      <c r="B49" s="487"/>
      <c r="C49" s="1416">
        <f>R50</f>
        <v>10533</v>
      </c>
      <c r="D49" s="1417"/>
      <c r="E49" s="1418">
        <f>R49</f>
        <v>10294</v>
      </c>
      <c r="F49" s="1418"/>
      <c r="G49" s="1416">
        <f>T49</f>
        <v>9804</v>
      </c>
      <c r="H49" s="1417"/>
      <c r="I49" s="1418">
        <f>V49</f>
        <v>11500</v>
      </c>
      <c r="J49" s="489"/>
      <c r="K49" s="784"/>
      <c r="L49" s="1146"/>
      <c r="M49" s="1134"/>
      <c r="N49" s="1134"/>
      <c r="O49" s="1134"/>
      <c r="P49" s="3252" t="str">
        <f>A49</f>
        <v>比较价值（元/平方米）</v>
      </c>
      <c r="Q49" s="3253"/>
      <c r="R49" s="3290">
        <f>IF(F1="售价",ROUND(PRODUCT(R48,AA7:AA47),0),ROUND(PRODUCT(R48,AA7:AA47),1))</f>
        <v>10294</v>
      </c>
      <c r="S49" s="3290"/>
      <c r="T49" s="3290">
        <f>IF(F1="售价",ROUND(PRODUCT(T48,AB7:AB47),0),ROUND(PRODUCT(T48,AB7:AB47),1))</f>
        <v>9804</v>
      </c>
      <c r="U49" s="3290"/>
      <c r="V49" s="3290">
        <f>IF(F1="售价",ROUND(PRODUCT(V48,AC7:AC47),0),ROUND(PRODUCT(V48,AC7:AC47),1))</f>
        <v>11500</v>
      </c>
      <c r="W49" s="3290"/>
      <c r="X49" s="446"/>
      <c r="Y49" s="446"/>
      <c r="Z49" s="446"/>
      <c r="AA49" s="446"/>
      <c r="AB49" s="446"/>
      <c r="AC49" s="630"/>
    </row>
    <row r="50" spans="1:29" ht="15.75" thickBot="1">
      <c r="A50" s="492" t="s">
        <v>2671</v>
      </c>
      <c r="B50" s="493"/>
      <c r="C50" s="1420">
        <f>R50</f>
        <v>10533</v>
      </c>
      <c r="D50" s="1420"/>
      <c r="E50" s="1420"/>
      <c r="F50" s="1420"/>
      <c r="G50" s="1420"/>
      <c r="H50" s="1420"/>
      <c r="I50" s="1420"/>
      <c r="J50" s="494"/>
      <c r="K50" s="785"/>
      <c r="L50" s="1146"/>
      <c r="M50" s="1134"/>
      <c r="N50" s="1134"/>
      <c r="O50" s="1134"/>
      <c r="P50" s="3330" t="str">
        <f>A50</f>
        <v>估价对象XX用房的比较价值（楼面单价，元/平方米）</v>
      </c>
      <c r="Q50" s="3331"/>
      <c r="R50" s="3332">
        <f>IF(F1="售价",ROUND(AVERAGE(R49:V49),0),ROUND(AVERAGE(R49:V49),1))</f>
        <v>10533</v>
      </c>
      <c r="S50" s="3332"/>
      <c r="T50" s="3332"/>
      <c r="U50" s="3332"/>
      <c r="V50" s="3332"/>
      <c r="W50" s="3332"/>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2.0011657276083117E-2</v>
      </c>
      <c r="F53" s="500" t="str">
        <f>IF(OR(E53&gt;=0.3,E53&lt;=-0.3),"超过30%","")</f>
        <v/>
      </c>
      <c r="G53" s="499">
        <f>IF(G48&lt;G49,G49/G48-1,G48/G49-1)</f>
        <v>1.9991840065279431E-2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2673</v>
      </c>
      <c r="D54" s="501"/>
      <c r="E54" s="499">
        <f>IF(E49&lt;G49,G49/E49-1,E49/G49-1)</f>
        <v>4.997960016319869E-2</v>
      </c>
      <c r="F54" s="500" t="str">
        <f>IF(OR(E54&gt;=0.2,E54&lt;=-0.2),"超过20%","")</f>
        <v/>
      </c>
      <c r="G54" s="499">
        <f>IF(G49&lt;I49,I49/G49-1,G49/I49-1)</f>
        <v>0.17299061607507138</v>
      </c>
      <c r="H54" s="500" t="str">
        <f>IF(OR(G54&gt;=0.2,G54&lt;=-0.2),"超过20%","")</f>
        <v/>
      </c>
      <c r="I54" s="499">
        <f>IF(I49&lt;E49,E49/I49-1,I49/E49-1)</f>
        <v>0.11715562463571016</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5.0000000000000044E-2</v>
      </c>
      <c r="F55" s="500" t="str">
        <f>IF(OR(E55&gt;=0.3,E55&lt;=-0.3),"超过30%","")</f>
        <v/>
      </c>
      <c r="G55" s="499">
        <f>IF(G48&lt;I48,I48/G48-1,G48/I48-1)</f>
        <v>0.14999999999999991</v>
      </c>
      <c r="H55" s="500" t="str">
        <f>IF(OR(G55&gt;=0.3,G55&lt;=-0.3),"超过30%","")</f>
        <v/>
      </c>
      <c r="I55" s="499">
        <f>IF(I48&lt;E48,E48/I48-1,I48/E48-1)</f>
        <v>9.5238095238095344E-2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9"/>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2"/>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0(含)-500</v>
      </c>
      <c r="D103" s="578" t="str">
        <f t="shared" ref="D103:L103" si="23">D104&amp;"(含)"&amp;"-"&amp;E104</f>
        <v>500(含)-1000</v>
      </c>
      <c r="E103" s="578" t="str">
        <f t="shared" si="23"/>
        <v>1000(含)-1500</v>
      </c>
      <c r="F103" s="578" t="str">
        <f t="shared" si="23"/>
        <v>1500(含)-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500</v>
      </c>
      <c r="E104" s="595">
        <v>1000</v>
      </c>
      <c r="F104" s="595">
        <v>1500</v>
      </c>
      <c r="G104" s="595"/>
      <c r="H104" s="595"/>
      <c r="I104" s="595"/>
      <c r="J104" s="596"/>
      <c r="K104" s="596"/>
      <c r="L104" s="597"/>
      <c r="M104" s="598"/>
      <c r="N104" s="1157"/>
      <c r="O104" s="1157"/>
      <c r="P104" s="2690"/>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33991.919999999998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0" t="s">
        <v>2647</v>
      </c>
      <c r="D4" s="3263"/>
      <c r="E4" s="3264" t="s">
        <v>2648</v>
      </c>
      <c r="F4" s="3265"/>
      <c r="G4" s="3250" t="s">
        <v>2649</v>
      </c>
      <c r="H4" s="3263"/>
      <c r="I4" s="3250" t="s">
        <v>2650</v>
      </c>
      <c r="J4" s="3263"/>
      <c r="K4" s="610" t="s">
        <v>2651</v>
      </c>
      <c r="L4" s="1133"/>
      <c r="M4" s="1134"/>
      <c r="N4" s="1134"/>
      <c r="O4" s="1134"/>
      <c r="P4" s="3266" t="s">
        <v>2652</v>
      </c>
      <c r="Q4" s="3267"/>
      <c r="R4" s="3272" t="s">
        <v>2648</v>
      </c>
      <c r="S4" s="3273"/>
      <c r="T4" s="3272" t="s">
        <v>2649</v>
      </c>
      <c r="U4" s="3273"/>
      <c r="V4" s="3259" t="s">
        <v>2650</v>
      </c>
      <c r="W4" s="3259"/>
      <c r="X4" s="1816"/>
      <c r="Y4" s="3272" t="s">
        <v>2652</v>
      </c>
      <c r="Z4" s="3273"/>
      <c r="AA4" s="3260" t="s">
        <v>2648</v>
      </c>
      <c r="AB4" s="3261" t="s">
        <v>2649</v>
      </c>
      <c r="AC4" s="3260" t="s">
        <v>2650</v>
      </c>
    </row>
    <row r="5" spans="1:29" ht="15">
      <c r="A5" s="404"/>
      <c r="B5" s="405"/>
      <c r="C5" s="3280" t="s">
        <v>2543</v>
      </c>
      <c r="D5" s="3281"/>
      <c r="E5" s="3287" t="s">
        <v>2544</v>
      </c>
      <c r="F5" s="3288"/>
      <c r="G5" s="3280" t="s">
        <v>2545</v>
      </c>
      <c r="H5" s="3281"/>
      <c r="I5" s="3280" t="s">
        <v>2546</v>
      </c>
      <c r="J5" s="3281"/>
      <c r="K5" s="610"/>
      <c r="L5" s="1133"/>
      <c r="M5" s="1134"/>
      <c r="N5" s="1134"/>
      <c r="O5" s="1134"/>
      <c r="P5" s="3268"/>
      <c r="Q5" s="3269"/>
      <c r="R5" s="3274"/>
      <c r="S5" s="3275"/>
      <c r="T5" s="3274"/>
      <c r="U5" s="3275"/>
      <c r="V5" s="3259"/>
      <c r="W5" s="3259"/>
      <c r="X5" s="1816"/>
      <c r="Y5" s="3274"/>
      <c r="Z5" s="3275"/>
      <c r="AA5" s="3261"/>
      <c r="AB5" s="3261"/>
      <c r="AC5" s="3261"/>
    </row>
    <row r="6" spans="1:29" ht="15.75" thickBot="1">
      <c r="A6" s="406"/>
      <c r="B6" s="407"/>
      <c r="C6" s="3278" t="s">
        <v>2547</v>
      </c>
      <c r="D6" s="3279"/>
      <c r="E6" s="3285" t="s">
        <v>2547</v>
      </c>
      <c r="F6" s="3286"/>
      <c r="G6" s="3278" t="s">
        <v>2547</v>
      </c>
      <c r="H6" s="3279"/>
      <c r="I6" s="3278" t="s">
        <v>2547</v>
      </c>
      <c r="J6" s="3279"/>
      <c r="K6" s="610" t="s">
        <v>2548</v>
      </c>
      <c r="L6" s="1133"/>
      <c r="M6" s="1134"/>
      <c r="N6" s="1134"/>
      <c r="O6" s="1134"/>
      <c r="P6" s="3270"/>
      <c r="Q6" s="3271"/>
      <c r="R6" s="3274"/>
      <c r="S6" s="3275"/>
      <c r="T6" s="3276"/>
      <c r="U6" s="3277"/>
      <c r="V6" s="3259"/>
      <c r="W6" s="3259"/>
      <c r="X6" s="1816"/>
      <c r="Y6" s="3276"/>
      <c r="Z6" s="3277"/>
      <c r="AA6" s="3262"/>
      <c r="AB6" s="3262"/>
      <c r="AC6" s="3262"/>
    </row>
    <row r="7" spans="1:29" s="117" customFormat="1" ht="15.75" thickBot="1">
      <c r="A7" s="408" t="s">
        <v>2549</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82" t="s">
        <v>2550</v>
      </c>
      <c r="Q7" s="3284"/>
      <c r="R7" s="770" t="s">
        <v>17</v>
      </c>
      <c r="S7" s="771">
        <f t="shared" ref="S7:S15" si="0">F7</f>
        <v>0</v>
      </c>
      <c r="T7" s="770" t="s">
        <v>17</v>
      </c>
      <c r="U7" s="771">
        <f t="shared" ref="U7:U15" si="1">H7</f>
        <v>0</v>
      </c>
      <c r="V7" s="770" t="s">
        <v>17</v>
      </c>
      <c r="W7" s="771">
        <f t="shared" ref="W7:W15" si="2">J7</f>
        <v>0</v>
      </c>
      <c r="X7" s="772"/>
      <c r="Y7" s="3282" t="s">
        <v>2550</v>
      </c>
      <c r="Z7" s="328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82" t="s">
        <v>2553</v>
      </c>
      <c r="Q8" s="3283"/>
      <c r="R8" s="770" t="s">
        <v>17</v>
      </c>
      <c r="S8" s="771">
        <f t="shared" si="0"/>
        <v>0</v>
      </c>
      <c r="T8" s="770" t="s">
        <v>17</v>
      </c>
      <c r="U8" s="771">
        <f t="shared" si="1"/>
        <v>0</v>
      </c>
      <c r="V8" s="770" t="s">
        <v>17</v>
      </c>
      <c r="W8" s="771">
        <f t="shared" si="2"/>
        <v>0</v>
      </c>
      <c r="X8" s="772"/>
      <c r="Y8" s="3282" t="s">
        <v>2553</v>
      </c>
      <c r="Z8" s="328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53" t="s">
        <v>2556</v>
      </c>
      <c r="Q9" s="1798" t="str">
        <f t="shared" ref="Q9:Q15" si="6">B9</f>
        <v>用途</v>
      </c>
      <c r="R9" s="770" t="s">
        <v>17</v>
      </c>
      <c r="S9" s="771">
        <f t="shared" si="0"/>
        <v>100</v>
      </c>
      <c r="T9" s="770" t="s">
        <v>17</v>
      </c>
      <c r="U9" s="771">
        <f t="shared" si="1"/>
        <v>100</v>
      </c>
      <c r="V9" s="770" t="s">
        <v>17</v>
      </c>
      <c r="W9" s="771">
        <f t="shared" si="2"/>
        <v>100</v>
      </c>
      <c r="X9" s="772"/>
      <c r="Y9" s="307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53"/>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53"/>
      <c r="Q11" s="1798"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53"/>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53"/>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53"/>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5" t="s">
        <v>2561</v>
      </c>
      <c r="Q15" s="1813" t="str">
        <f t="shared" si="6"/>
        <v>产业集聚程度</v>
      </c>
      <c r="R15" s="774" t="s">
        <v>17</v>
      </c>
      <c r="S15" s="775">
        <f t="shared" si="0"/>
        <v>100</v>
      </c>
      <c r="T15" s="774" t="s">
        <v>17</v>
      </c>
      <c r="U15" s="775">
        <f t="shared" si="1"/>
        <v>100</v>
      </c>
      <c r="V15" s="774" t="s">
        <v>17</v>
      </c>
      <c r="W15" s="775">
        <f t="shared" si="2"/>
        <v>100</v>
      </c>
      <c r="X15" s="1816"/>
      <c r="Y15" s="3255"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56"/>
      <c r="Q16" s="1813"/>
      <c r="R16" s="774"/>
      <c r="S16" s="775"/>
      <c r="T16" s="774"/>
      <c r="U16" s="775"/>
      <c r="V16" s="774"/>
      <c r="W16" s="775"/>
      <c r="X16" s="1816"/>
      <c r="Y16" s="3256"/>
      <c r="Z16" s="1817"/>
      <c r="AA16" s="1814">
        <v>1</v>
      </c>
      <c r="AB16" s="1814">
        <v>1</v>
      </c>
      <c r="AC16" s="1814">
        <v>1</v>
      </c>
    </row>
    <row r="17" spans="1:29" ht="85.5">
      <c r="A17" s="428"/>
      <c r="B17" s="451" t="s">
        <v>2097</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6"/>
      <c r="Q17" s="1813" t="str">
        <f>B17</f>
        <v>交通便捷度</v>
      </c>
      <c r="R17" s="774" t="s">
        <v>17</v>
      </c>
      <c r="S17" s="775">
        <f>F17</f>
        <v>100</v>
      </c>
      <c r="T17" s="774" t="s">
        <v>17</v>
      </c>
      <c r="U17" s="775">
        <f>H17</f>
        <v>100</v>
      </c>
      <c r="V17" s="774" t="s">
        <v>17</v>
      </c>
      <c r="W17" s="775">
        <f>J17</f>
        <v>100</v>
      </c>
      <c r="X17" s="1816"/>
      <c r="Y17" s="325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56"/>
      <c r="Q18" s="1813"/>
      <c r="R18" s="774"/>
      <c r="S18" s="775"/>
      <c r="T18" s="774"/>
      <c r="U18" s="775"/>
      <c r="V18" s="774"/>
      <c r="W18" s="775"/>
      <c r="X18" s="1816"/>
      <c r="Y18" s="3256"/>
      <c r="Z18" s="1817"/>
      <c r="AA18" s="1814">
        <v>1</v>
      </c>
      <c r="AB18" s="1814">
        <v>1</v>
      </c>
      <c r="AC18" s="1814">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6"/>
      <c r="Q19" s="1813" t="str">
        <f>B19</f>
        <v>公共配套设施</v>
      </c>
      <c r="R19" s="774" t="s">
        <v>17</v>
      </c>
      <c r="S19" s="775">
        <f>F19</f>
        <v>100</v>
      </c>
      <c r="T19" s="774" t="s">
        <v>17</v>
      </c>
      <c r="U19" s="775">
        <f>H19</f>
        <v>100</v>
      </c>
      <c r="V19" s="774" t="s">
        <v>17</v>
      </c>
      <c r="W19" s="775">
        <f>J19</f>
        <v>100</v>
      </c>
      <c r="X19" s="1816"/>
      <c r="Y19" s="325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56"/>
      <c r="Q20" s="1813"/>
      <c r="R20" s="774"/>
      <c r="S20" s="775"/>
      <c r="T20" s="774"/>
      <c r="U20" s="775"/>
      <c r="V20" s="774"/>
      <c r="W20" s="775"/>
      <c r="X20" s="1816"/>
      <c r="Y20" s="3256"/>
      <c r="Z20" s="1817"/>
      <c r="AA20" s="1814">
        <v>1</v>
      </c>
      <c r="AB20" s="1814">
        <v>1</v>
      </c>
      <c r="AC20" s="1814">
        <v>1</v>
      </c>
    </row>
    <row r="21" spans="1:29" ht="28.5">
      <c r="A21" s="428"/>
      <c r="B21" s="1387"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6"/>
      <c r="Q21" s="1813" t="str">
        <f>B21</f>
        <v>基础设施水平</v>
      </c>
      <c r="R21" s="774" t="s">
        <v>17</v>
      </c>
      <c r="S21" s="775">
        <f>F21</f>
        <v>100</v>
      </c>
      <c r="T21" s="774" t="s">
        <v>17</v>
      </c>
      <c r="U21" s="775">
        <f>H21</f>
        <v>100</v>
      </c>
      <c r="V21" s="774" t="s">
        <v>17</v>
      </c>
      <c r="W21" s="775">
        <f>J21</f>
        <v>100</v>
      </c>
      <c r="X21" s="1816"/>
      <c r="Y21" s="325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56"/>
      <c r="Q22" s="1813"/>
      <c r="R22" s="774"/>
      <c r="S22" s="775"/>
      <c r="T22" s="774"/>
      <c r="U22" s="775"/>
      <c r="V22" s="774"/>
      <c r="W22" s="775"/>
      <c r="X22" s="1816"/>
      <c r="Y22" s="3256"/>
      <c r="Z22" s="1817"/>
      <c r="AA22" s="1814">
        <v>1</v>
      </c>
      <c r="AB22" s="1814">
        <v>1</v>
      </c>
      <c r="AC22" s="1814">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6"/>
      <c r="Q23" s="1813" t="str">
        <f>B23</f>
        <v>环境质量</v>
      </c>
      <c r="R23" s="774" t="s">
        <v>17</v>
      </c>
      <c r="S23" s="775">
        <f>F23</f>
        <v>100</v>
      </c>
      <c r="T23" s="774" t="s">
        <v>17</v>
      </c>
      <c r="U23" s="775">
        <f>H23</f>
        <v>100</v>
      </c>
      <c r="V23" s="774" t="s">
        <v>17</v>
      </c>
      <c r="W23" s="775">
        <f>J23</f>
        <v>100</v>
      </c>
      <c r="X23" s="1816"/>
      <c r="Y23" s="3256"/>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56"/>
      <c r="Q24" s="1813"/>
      <c r="R24" s="774"/>
      <c r="S24" s="775"/>
      <c r="T24" s="774"/>
      <c r="U24" s="775"/>
      <c r="V24" s="774"/>
      <c r="W24" s="775"/>
      <c r="X24" s="1816"/>
      <c r="Y24" s="325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6"/>
      <c r="Q25" s="1813">
        <f>B25</f>
        <v>111</v>
      </c>
      <c r="R25" s="774" t="s">
        <v>17</v>
      </c>
      <c r="S25" s="775">
        <f>F25</f>
        <v>100</v>
      </c>
      <c r="T25" s="774" t="s">
        <v>17</v>
      </c>
      <c r="U25" s="775">
        <f>H25</f>
        <v>100</v>
      </c>
      <c r="V25" s="774" t="s">
        <v>17</v>
      </c>
      <c r="W25" s="775">
        <f>J25</f>
        <v>100</v>
      </c>
      <c r="X25" s="1816"/>
      <c r="Y25" s="325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6"/>
      <c r="Q26" s="1813">
        <f t="shared" ref="Q26:Q40" si="11">B26</f>
        <v>111</v>
      </c>
      <c r="R26" s="774" t="s">
        <v>17</v>
      </c>
      <c r="S26" s="775">
        <f>F26</f>
        <v>100</v>
      </c>
      <c r="T26" s="774" t="s">
        <v>17</v>
      </c>
      <c r="U26" s="775">
        <f>H26</f>
        <v>100</v>
      </c>
      <c r="V26" s="774" t="s">
        <v>17</v>
      </c>
      <c r="W26" s="775">
        <f>J26</f>
        <v>100</v>
      </c>
      <c r="X26" s="1816"/>
      <c r="Y26" s="325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6"/>
      <c r="Q27" s="1798">
        <f t="shared" si="11"/>
        <v>111</v>
      </c>
      <c r="R27" s="770" t="s">
        <v>17</v>
      </c>
      <c r="S27" s="771">
        <f>F27</f>
        <v>100</v>
      </c>
      <c r="T27" s="770" t="s">
        <v>17</v>
      </c>
      <c r="U27" s="771">
        <f>H27</f>
        <v>100</v>
      </c>
      <c r="V27" s="770" t="s">
        <v>17</v>
      </c>
      <c r="W27" s="771">
        <f>J27</f>
        <v>100</v>
      </c>
      <c r="X27" s="772"/>
      <c r="Y27" s="325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6"/>
      <c r="Q28" s="1813">
        <f t="shared" si="11"/>
        <v>111</v>
      </c>
      <c r="R28" s="774" t="s">
        <v>17</v>
      </c>
      <c r="S28" s="775">
        <f t="shared" ref="S28:S40" si="12">F28</f>
        <v>100</v>
      </c>
      <c r="T28" s="774" t="s">
        <v>17</v>
      </c>
      <c r="U28" s="775">
        <f t="shared" ref="U28:U40" si="13">H28</f>
        <v>100</v>
      </c>
      <c r="V28" s="774" t="s">
        <v>17</v>
      </c>
      <c r="W28" s="775">
        <f t="shared" ref="W28:W40" si="14">J28</f>
        <v>100</v>
      </c>
      <c r="X28" s="1816"/>
      <c r="Y28" s="3256"/>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57" t="s">
        <v>2566</v>
      </c>
      <c r="Q29" s="1813" t="str">
        <f t="shared" si="11"/>
        <v>建筑类型</v>
      </c>
      <c r="R29" s="774" t="s">
        <v>17</v>
      </c>
      <c r="S29" s="775">
        <f t="shared" si="12"/>
        <v>100</v>
      </c>
      <c r="T29" s="774" t="s">
        <v>17</v>
      </c>
      <c r="U29" s="775">
        <f t="shared" si="13"/>
        <v>100</v>
      </c>
      <c r="V29" s="774" t="s">
        <v>17</v>
      </c>
      <c r="W29" s="775">
        <f t="shared" si="14"/>
        <v>100</v>
      </c>
      <c r="X29" s="1816"/>
      <c r="Y29" s="325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8"/>
      <c r="Q30" s="776" t="str">
        <f t="shared" si="11"/>
        <v>项目建筑规模</v>
      </c>
      <c r="R30" s="777" t="s">
        <v>17</v>
      </c>
      <c r="S30" s="778" t="e">
        <f t="shared" si="12"/>
        <v>#N/A</v>
      </c>
      <c r="T30" s="777" t="s">
        <v>17</v>
      </c>
      <c r="U30" s="778" t="e">
        <f t="shared" si="13"/>
        <v>#N/A</v>
      </c>
      <c r="V30" s="777" t="s">
        <v>17</v>
      </c>
      <c r="W30" s="778" t="e">
        <f t="shared" si="14"/>
        <v>#N/A</v>
      </c>
      <c r="X30" s="779"/>
      <c r="Y30" s="325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8"/>
      <c r="Q31" s="1813" t="str">
        <f t="shared" si="11"/>
        <v>建筑结构</v>
      </c>
      <c r="R31" s="774" t="s">
        <v>17</v>
      </c>
      <c r="S31" s="775">
        <f t="shared" si="12"/>
        <v>100</v>
      </c>
      <c r="T31" s="774" t="s">
        <v>17</v>
      </c>
      <c r="U31" s="775">
        <f t="shared" si="13"/>
        <v>100</v>
      </c>
      <c r="V31" s="774" t="s">
        <v>17</v>
      </c>
      <c r="W31" s="775">
        <f t="shared" si="14"/>
        <v>100</v>
      </c>
      <c r="X31" s="1816"/>
      <c r="Y31" s="325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8"/>
      <c r="Q32" s="1813" t="str">
        <f t="shared" si="11"/>
        <v>公共部分装修</v>
      </c>
      <c r="R32" s="774" t="s">
        <v>17</v>
      </c>
      <c r="S32" s="775">
        <f t="shared" si="12"/>
        <v>100</v>
      </c>
      <c r="T32" s="774" t="s">
        <v>17</v>
      </c>
      <c r="U32" s="775">
        <f t="shared" si="13"/>
        <v>100</v>
      </c>
      <c r="V32" s="774" t="s">
        <v>17</v>
      </c>
      <c r="W32" s="775">
        <f t="shared" si="14"/>
        <v>100</v>
      </c>
      <c r="X32" s="1816"/>
      <c r="Y32" s="325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8"/>
      <c r="Q33" s="1813" t="str">
        <f t="shared" si="11"/>
        <v>成新度</v>
      </c>
      <c r="R33" s="774" t="s">
        <v>17</v>
      </c>
      <c r="S33" s="775" t="e">
        <f t="shared" si="12"/>
        <v>#N/A</v>
      </c>
      <c r="T33" s="774" t="s">
        <v>17</v>
      </c>
      <c r="U33" s="775" t="e">
        <f t="shared" si="13"/>
        <v>#N/A</v>
      </c>
      <c r="V33" s="774" t="s">
        <v>17</v>
      </c>
      <c r="W33" s="775" t="e">
        <f t="shared" si="14"/>
        <v>#N/A</v>
      </c>
      <c r="X33" s="1816"/>
      <c r="Y33" s="325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8"/>
      <c r="Q34" s="1798" t="str">
        <f t="shared" si="11"/>
        <v>物业管理</v>
      </c>
      <c r="R34" s="770" t="s">
        <v>17</v>
      </c>
      <c r="S34" s="771">
        <f t="shared" si="12"/>
        <v>100</v>
      </c>
      <c r="T34" s="770" t="s">
        <v>17</v>
      </c>
      <c r="U34" s="771">
        <f t="shared" si="13"/>
        <v>100</v>
      </c>
      <c r="V34" s="770" t="s">
        <v>17</v>
      </c>
      <c r="W34" s="771">
        <f t="shared" si="14"/>
        <v>100</v>
      </c>
      <c r="X34" s="772"/>
      <c r="Y34" s="325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8" t="s">
        <v>2566</v>
      </c>
      <c r="Q35" s="1813" t="str">
        <f t="shared" si="11"/>
        <v>市政基础设施</v>
      </c>
      <c r="R35" s="774" t="s">
        <v>17</v>
      </c>
      <c r="S35" s="775">
        <f t="shared" si="12"/>
        <v>100</v>
      </c>
      <c r="T35" s="774" t="s">
        <v>17</v>
      </c>
      <c r="U35" s="775">
        <f t="shared" si="13"/>
        <v>100</v>
      </c>
      <c r="V35" s="774" t="s">
        <v>17</v>
      </c>
      <c r="W35" s="775">
        <f t="shared" si="14"/>
        <v>100</v>
      </c>
      <c r="X35" s="1816"/>
      <c r="Y35" s="325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8"/>
      <c r="Q36" s="1813" t="str">
        <f t="shared" si="11"/>
        <v>内部装修</v>
      </c>
      <c r="R36" s="774" t="s">
        <v>17</v>
      </c>
      <c r="S36" s="775">
        <f t="shared" si="12"/>
        <v>100</v>
      </c>
      <c r="T36" s="774" t="s">
        <v>17</v>
      </c>
      <c r="U36" s="775">
        <f t="shared" si="13"/>
        <v>100</v>
      </c>
      <c r="V36" s="774" t="s">
        <v>17</v>
      </c>
      <c r="W36" s="775">
        <f t="shared" si="14"/>
        <v>100</v>
      </c>
      <c r="X36" s="1816"/>
      <c r="Y36" s="325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8"/>
      <c r="Q37" s="1813" t="str">
        <f t="shared" si="11"/>
        <v>内部装修状况</v>
      </c>
      <c r="R37" s="774" t="s">
        <v>17</v>
      </c>
      <c r="S37" s="775">
        <f t="shared" si="12"/>
        <v>100</v>
      </c>
      <c r="T37" s="774" t="s">
        <v>17</v>
      </c>
      <c r="U37" s="775">
        <f t="shared" si="13"/>
        <v>100</v>
      </c>
      <c r="V37" s="774" t="s">
        <v>17</v>
      </c>
      <c r="W37" s="775">
        <f t="shared" si="14"/>
        <v>100</v>
      </c>
      <c r="X37" s="1816"/>
      <c r="Y37" s="325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8"/>
      <c r="Q38" s="776">
        <f t="shared" si="11"/>
        <v>111</v>
      </c>
      <c r="R38" s="777" t="s">
        <v>17</v>
      </c>
      <c r="S38" s="778">
        <f t="shared" si="12"/>
        <v>100</v>
      </c>
      <c r="T38" s="777" t="s">
        <v>17</v>
      </c>
      <c r="U38" s="778">
        <f t="shared" si="13"/>
        <v>100</v>
      </c>
      <c r="V38" s="777" t="s">
        <v>17</v>
      </c>
      <c r="W38" s="778">
        <f t="shared" si="14"/>
        <v>100</v>
      </c>
      <c r="X38" s="779"/>
      <c r="Y38" s="325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8"/>
      <c r="Q39" s="1813">
        <f t="shared" si="11"/>
        <v>111</v>
      </c>
      <c r="R39" s="774" t="s">
        <v>17</v>
      </c>
      <c r="S39" s="775">
        <f t="shared" si="12"/>
        <v>100</v>
      </c>
      <c r="T39" s="774" t="s">
        <v>17</v>
      </c>
      <c r="U39" s="775">
        <f t="shared" si="13"/>
        <v>100</v>
      </c>
      <c r="V39" s="774" t="s">
        <v>17</v>
      </c>
      <c r="W39" s="775">
        <f t="shared" si="14"/>
        <v>100</v>
      </c>
      <c r="X39" s="1816"/>
      <c r="Y39" s="3258"/>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7"/>
      <c r="Q40" s="1813">
        <f t="shared" si="11"/>
        <v>111</v>
      </c>
      <c r="R40" s="774" t="s">
        <v>17</v>
      </c>
      <c r="S40" s="775">
        <f t="shared" si="12"/>
        <v>100</v>
      </c>
      <c r="T40" s="774" t="s">
        <v>17</v>
      </c>
      <c r="U40" s="775">
        <f t="shared" si="13"/>
        <v>100</v>
      </c>
      <c r="V40" s="774" t="s">
        <v>17</v>
      </c>
      <c r="W40" s="775">
        <f t="shared" si="14"/>
        <v>100</v>
      </c>
      <c r="X40" s="1816"/>
      <c r="Y40" s="3297"/>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53" t="str">
        <f>A41</f>
        <v>成交单价（元/平方米）</v>
      </c>
      <c r="Q41" s="3253"/>
      <c r="R41" s="3290">
        <f>E41</f>
        <v>0</v>
      </c>
      <c r="S41" s="3290"/>
      <c r="T41" s="3290">
        <f>G41</f>
        <v>0</v>
      </c>
      <c r="U41" s="3290"/>
      <c r="V41" s="3290">
        <f>I41</f>
        <v>0</v>
      </c>
      <c r="W41" s="3290"/>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53" t="str">
        <f>A42</f>
        <v>比较价值（元/平方米）</v>
      </c>
      <c r="Q42" s="3253"/>
      <c r="R42" s="3290" t="e">
        <f>IF(F1="售价",ROUND(PRODUCT(R41,AA7:AA40),0),ROUND(PRODUCT(R41,AA7:AA40),1))</f>
        <v>#DIV/0!</v>
      </c>
      <c r="S42" s="3290"/>
      <c r="T42" s="3290" t="e">
        <f>IF(F1="售价",ROUND(PRODUCT(T41,AB7:AB40),0),ROUND(PRODUCT(T41,AB7:AB40),1))</f>
        <v>#DIV/0!</v>
      </c>
      <c r="U42" s="3290"/>
      <c r="V42" s="3290" t="e">
        <f>IF(F1="售价",ROUND(PRODUCT(V41,AC7:AC40),0),ROUND(PRODUCT(V41,AC7:AC40),1))</f>
        <v>#DIV/0!</v>
      </c>
      <c r="W42" s="3290"/>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47" t="str">
        <f>A43</f>
        <v>估价对象XX用房的比较价值（楼面单价，元/平方米）</v>
      </c>
      <c r="Q43" s="3248"/>
      <c r="R43" s="3291" t="e">
        <f>IF(F1="售价",ROUND(AVERAGE(R42:V42),0),ROUND(AVERAGE(R42:V42),1))</f>
        <v>#DIV/0!</v>
      </c>
      <c r="S43" s="3291"/>
      <c r="T43" s="3291"/>
      <c r="U43" s="3291"/>
      <c r="V43" s="3291"/>
      <c r="W43" s="329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0" t="s">
        <v>2647</v>
      </c>
      <c r="D4" s="3263"/>
      <c r="E4" s="3264" t="s">
        <v>2648</v>
      </c>
      <c r="F4" s="3265"/>
      <c r="G4" s="3250" t="s">
        <v>2649</v>
      </c>
      <c r="H4" s="3263"/>
      <c r="I4" s="3250" t="s">
        <v>2650</v>
      </c>
      <c r="J4" s="3263"/>
      <c r="K4" s="610" t="s">
        <v>2651</v>
      </c>
      <c r="L4" s="1133"/>
      <c r="M4" s="1134"/>
      <c r="N4" s="1134"/>
      <c r="O4" s="1134"/>
      <c r="P4" s="3266" t="s">
        <v>2652</v>
      </c>
      <c r="Q4" s="3267"/>
      <c r="R4" s="3272" t="s">
        <v>2648</v>
      </c>
      <c r="S4" s="3273"/>
      <c r="T4" s="3272" t="s">
        <v>2649</v>
      </c>
      <c r="U4" s="3273"/>
      <c r="V4" s="3259" t="s">
        <v>2650</v>
      </c>
      <c r="W4" s="3259"/>
      <c r="X4" s="1816"/>
      <c r="Y4" s="3272" t="s">
        <v>2652</v>
      </c>
      <c r="Z4" s="3273"/>
      <c r="AA4" s="3260" t="s">
        <v>2648</v>
      </c>
      <c r="AB4" s="3261" t="s">
        <v>2649</v>
      </c>
      <c r="AC4" s="3260" t="s">
        <v>2650</v>
      </c>
    </row>
    <row r="5" spans="1:29" ht="15">
      <c r="A5" s="404"/>
      <c r="B5" s="405"/>
      <c r="C5" s="3280" t="s">
        <v>2543</v>
      </c>
      <c r="D5" s="3281"/>
      <c r="E5" s="3287" t="s">
        <v>2544</v>
      </c>
      <c r="F5" s="3288"/>
      <c r="G5" s="3280" t="s">
        <v>2545</v>
      </c>
      <c r="H5" s="3281"/>
      <c r="I5" s="3280" t="s">
        <v>2546</v>
      </c>
      <c r="J5" s="3281"/>
      <c r="K5" s="610"/>
      <c r="L5" s="1133"/>
      <c r="M5" s="1134"/>
      <c r="N5" s="1134"/>
      <c r="O5" s="1134"/>
      <c r="P5" s="3268"/>
      <c r="Q5" s="3269"/>
      <c r="R5" s="3274"/>
      <c r="S5" s="3275"/>
      <c r="T5" s="3274"/>
      <c r="U5" s="3275"/>
      <c r="V5" s="3259"/>
      <c r="W5" s="3259"/>
      <c r="X5" s="1816"/>
      <c r="Y5" s="3274"/>
      <c r="Z5" s="3275"/>
      <c r="AA5" s="3261"/>
      <c r="AB5" s="3261"/>
      <c r="AC5" s="3261"/>
    </row>
    <row r="6" spans="1:29" ht="15.75" thickBot="1">
      <c r="A6" s="406"/>
      <c r="B6" s="407"/>
      <c r="C6" s="3278" t="s">
        <v>2547</v>
      </c>
      <c r="D6" s="3279"/>
      <c r="E6" s="3285" t="s">
        <v>2547</v>
      </c>
      <c r="F6" s="3286"/>
      <c r="G6" s="3278" t="s">
        <v>2547</v>
      </c>
      <c r="H6" s="3279"/>
      <c r="I6" s="3278" t="s">
        <v>2547</v>
      </c>
      <c r="J6" s="3279"/>
      <c r="K6" s="610" t="s">
        <v>2548</v>
      </c>
      <c r="L6" s="1133"/>
      <c r="M6" s="1134"/>
      <c r="N6" s="1134"/>
      <c r="O6" s="1134"/>
      <c r="P6" s="3270"/>
      <c r="Q6" s="3271"/>
      <c r="R6" s="3274"/>
      <c r="S6" s="3275"/>
      <c r="T6" s="3276"/>
      <c r="U6" s="3277"/>
      <c r="V6" s="3259"/>
      <c r="W6" s="3259"/>
      <c r="X6" s="1816"/>
      <c r="Y6" s="3276"/>
      <c r="Z6" s="3277"/>
      <c r="AA6" s="3262"/>
      <c r="AB6" s="3262"/>
      <c r="AC6" s="3262"/>
    </row>
    <row r="7" spans="1:29" s="117" customFormat="1" ht="15.75" thickBot="1">
      <c r="A7" s="408" t="s">
        <v>2549</v>
      </c>
      <c r="B7" s="409"/>
      <c r="C7" s="410">
        <f>'数据-取费表'!B2</f>
        <v>43532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82" t="s">
        <v>2550</v>
      </c>
      <c r="Q7" s="3284"/>
      <c r="R7" s="770" t="s">
        <v>17</v>
      </c>
      <c r="S7" s="771">
        <f t="shared" ref="S7:S14" si="0">F7</f>
        <v>0</v>
      </c>
      <c r="T7" s="770" t="s">
        <v>17</v>
      </c>
      <c r="U7" s="771">
        <f t="shared" ref="U7:U14" si="1">H7</f>
        <v>0</v>
      </c>
      <c r="V7" s="770" t="s">
        <v>17</v>
      </c>
      <c r="W7" s="771">
        <f t="shared" ref="W7:W14" si="2">J7</f>
        <v>0</v>
      </c>
      <c r="X7" s="772"/>
      <c r="Y7" s="3282" t="s">
        <v>2550</v>
      </c>
      <c r="Z7" s="328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82" t="s">
        <v>2553</v>
      </c>
      <c r="Q8" s="3283"/>
      <c r="R8" s="770" t="s">
        <v>17</v>
      </c>
      <c r="S8" s="771">
        <f t="shared" si="0"/>
        <v>0</v>
      </c>
      <c r="T8" s="770" t="s">
        <v>17</v>
      </c>
      <c r="U8" s="771">
        <f t="shared" si="1"/>
        <v>0</v>
      </c>
      <c r="V8" s="770" t="s">
        <v>17</v>
      </c>
      <c r="W8" s="771">
        <f t="shared" si="2"/>
        <v>0</v>
      </c>
      <c r="X8" s="772"/>
      <c r="Y8" s="3282" t="s">
        <v>2553</v>
      </c>
      <c r="Z8" s="328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53" t="s">
        <v>2556</v>
      </c>
      <c r="Q9" s="1798" t="str">
        <f t="shared" ref="Q9:Q14" si="6">B9</f>
        <v>用途</v>
      </c>
      <c r="R9" s="770" t="s">
        <v>17</v>
      </c>
      <c r="S9" s="771">
        <f t="shared" si="0"/>
        <v>100</v>
      </c>
      <c r="T9" s="770" t="s">
        <v>17</v>
      </c>
      <c r="U9" s="771">
        <f t="shared" si="1"/>
        <v>100</v>
      </c>
      <c r="V9" s="770" t="s">
        <v>17</v>
      </c>
      <c r="W9" s="771">
        <f t="shared" si="2"/>
        <v>100</v>
      </c>
      <c r="X9" s="772"/>
      <c r="Y9" s="307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53"/>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53"/>
      <c r="Q11" s="1798">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53"/>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53"/>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5" t="s">
        <v>2561</v>
      </c>
      <c r="Q14" s="1813" t="str">
        <f t="shared" si="6"/>
        <v>交通便捷度</v>
      </c>
      <c r="R14" s="774" t="s">
        <v>17</v>
      </c>
      <c r="S14" s="775">
        <f t="shared" si="0"/>
        <v>100</v>
      </c>
      <c r="T14" s="774" t="s">
        <v>17</v>
      </c>
      <c r="U14" s="775">
        <f t="shared" si="1"/>
        <v>100</v>
      </c>
      <c r="V14" s="774" t="s">
        <v>17</v>
      </c>
      <c r="W14" s="775">
        <f t="shared" si="2"/>
        <v>100</v>
      </c>
      <c r="X14" s="1816"/>
      <c r="Y14" s="3255"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56"/>
      <c r="Q15" s="1813"/>
      <c r="R15" s="774"/>
      <c r="S15" s="775"/>
      <c r="T15" s="774"/>
      <c r="U15" s="775"/>
      <c r="V15" s="774"/>
      <c r="W15" s="775"/>
      <c r="X15" s="1816"/>
      <c r="Y15" s="3256"/>
      <c r="Z15" s="1817"/>
      <c r="AA15" s="1814">
        <v>1</v>
      </c>
      <c r="AB15" s="1814">
        <v>1</v>
      </c>
      <c r="AC15" s="1814">
        <v>1</v>
      </c>
    </row>
    <row r="16" spans="1:29" ht="42.75">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6"/>
      <c r="Q16" s="1813" t="str">
        <f>B16</f>
        <v>公共配套设施</v>
      </c>
      <c r="R16" s="774" t="s">
        <v>17</v>
      </c>
      <c r="S16" s="775">
        <f>F16</f>
        <v>100</v>
      </c>
      <c r="T16" s="774" t="s">
        <v>17</v>
      </c>
      <c r="U16" s="775">
        <f>H16</f>
        <v>100</v>
      </c>
      <c r="V16" s="774" t="s">
        <v>17</v>
      </c>
      <c r="W16" s="775">
        <f>J16</f>
        <v>100</v>
      </c>
      <c r="X16" s="1816"/>
      <c r="Y16" s="3256"/>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56"/>
      <c r="Q17" s="1813"/>
      <c r="R17" s="774"/>
      <c r="S17" s="775"/>
      <c r="T17" s="774"/>
      <c r="U17" s="775"/>
      <c r="V17" s="774"/>
      <c r="W17" s="775"/>
      <c r="X17" s="1816"/>
      <c r="Y17" s="3256"/>
      <c r="Z17" s="1817"/>
      <c r="AA17" s="1814">
        <v>1</v>
      </c>
      <c r="AB17" s="1814">
        <v>1</v>
      </c>
      <c r="AC17" s="1814">
        <v>1</v>
      </c>
    </row>
    <row r="18" spans="1:29" ht="28.5">
      <c r="A18" s="428"/>
      <c r="B18" s="1387"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6"/>
      <c r="Q18" s="1813" t="str">
        <f>B18</f>
        <v>基础设施水平</v>
      </c>
      <c r="R18" s="774" t="s">
        <v>17</v>
      </c>
      <c r="S18" s="775">
        <f>F18</f>
        <v>100</v>
      </c>
      <c r="T18" s="774" t="s">
        <v>17</v>
      </c>
      <c r="U18" s="775">
        <f>H18</f>
        <v>100</v>
      </c>
      <c r="V18" s="774" t="s">
        <v>17</v>
      </c>
      <c r="W18" s="775">
        <f>J18</f>
        <v>100</v>
      </c>
      <c r="X18" s="1816"/>
      <c r="Y18" s="3256"/>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56"/>
      <c r="Q19" s="1813"/>
      <c r="R19" s="774"/>
      <c r="S19" s="775"/>
      <c r="T19" s="774"/>
      <c r="U19" s="775"/>
      <c r="V19" s="774"/>
      <c r="W19" s="775"/>
      <c r="X19" s="1816"/>
      <c r="Y19" s="3256"/>
      <c r="Z19" s="1817"/>
      <c r="AA19" s="1814">
        <v>1</v>
      </c>
      <c r="AB19" s="1814">
        <v>1</v>
      </c>
      <c r="AC19" s="1814">
        <v>1</v>
      </c>
    </row>
    <row r="20" spans="1:29" ht="57">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6"/>
      <c r="Q20" s="1813" t="str">
        <f>B20</f>
        <v>自然及人文环境</v>
      </c>
      <c r="R20" s="774" t="s">
        <v>17</v>
      </c>
      <c r="S20" s="775">
        <f>F20</f>
        <v>100</v>
      </c>
      <c r="T20" s="774" t="s">
        <v>17</v>
      </c>
      <c r="U20" s="775">
        <f>H20</f>
        <v>100</v>
      </c>
      <c r="V20" s="774" t="s">
        <v>17</v>
      </c>
      <c r="W20" s="775">
        <f>J20</f>
        <v>100</v>
      </c>
      <c r="X20" s="1816"/>
      <c r="Y20" s="325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56"/>
      <c r="Q21" s="1813"/>
      <c r="R21" s="774"/>
      <c r="S21" s="775"/>
      <c r="T21" s="774"/>
      <c r="U21" s="775"/>
      <c r="V21" s="774"/>
      <c r="W21" s="775"/>
      <c r="X21" s="1816"/>
      <c r="Y21" s="3256"/>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6"/>
      <c r="Q22" s="1813" t="str">
        <f>B22</f>
        <v>楼层</v>
      </c>
      <c r="R22" s="774" t="s">
        <v>17</v>
      </c>
      <c r="S22" s="775">
        <f>F22</f>
        <v>100</v>
      </c>
      <c r="T22" s="774" t="s">
        <v>17</v>
      </c>
      <c r="U22" s="775">
        <f>H22</f>
        <v>100</v>
      </c>
      <c r="V22" s="774" t="s">
        <v>17</v>
      </c>
      <c r="W22" s="775">
        <f>J22</f>
        <v>100</v>
      </c>
      <c r="X22" s="1816"/>
      <c r="Y22" s="3256"/>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6"/>
      <c r="Q23" s="1813">
        <f>B23</f>
        <v>111</v>
      </c>
      <c r="R23" s="774" t="s">
        <v>17</v>
      </c>
      <c r="S23" s="775">
        <f>F23</f>
        <v>100</v>
      </c>
      <c r="T23" s="774" t="s">
        <v>17</v>
      </c>
      <c r="U23" s="775">
        <f>H23</f>
        <v>100</v>
      </c>
      <c r="V23" s="774" t="s">
        <v>17</v>
      </c>
      <c r="W23" s="775">
        <f>J23</f>
        <v>100</v>
      </c>
      <c r="X23" s="1816"/>
      <c r="Y23" s="3256"/>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6"/>
      <c r="Q24" s="1813">
        <f t="shared" ref="Q24:Q34" si="11">B24</f>
        <v>111</v>
      </c>
      <c r="R24" s="774" t="s">
        <v>17</v>
      </c>
      <c r="S24" s="775">
        <f>F24</f>
        <v>100</v>
      </c>
      <c r="T24" s="774" t="s">
        <v>17</v>
      </c>
      <c r="U24" s="775">
        <f>H24</f>
        <v>100</v>
      </c>
      <c r="V24" s="774" t="s">
        <v>17</v>
      </c>
      <c r="W24" s="775">
        <f>J24</f>
        <v>100</v>
      </c>
      <c r="X24" s="1816"/>
      <c r="Y24" s="3256"/>
      <c r="Z24" s="1817">
        <f>Q24</f>
        <v>111</v>
      </c>
      <c r="AA24" s="1814">
        <f t="shared" si="3"/>
        <v>1</v>
      </c>
      <c r="AB24" s="1814">
        <f t="shared" si="4"/>
        <v>1</v>
      </c>
      <c r="AC24" s="1814">
        <f t="shared" si="5"/>
        <v>1</v>
      </c>
    </row>
    <row r="25" spans="1:29" s="117" customFormat="1" ht="15.75"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56"/>
      <c r="Q25" s="1798">
        <f t="shared" si="11"/>
        <v>111</v>
      </c>
      <c r="R25" s="770" t="s">
        <v>17</v>
      </c>
      <c r="S25" s="771">
        <f>F25</f>
        <v>100</v>
      </c>
      <c r="T25" s="770" t="s">
        <v>17</v>
      </c>
      <c r="U25" s="771">
        <f>H25</f>
        <v>100</v>
      </c>
      <c r="V25" s="770" t="s">
        <v>17</v>
      </c>
      <c r="W25" s="771">
        <f>J25</f>
        <v>100</v>
      </c>
      <c r="X25" s="772"/>
      <c r="Y25" s="3256"/>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57"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8"/>
      <c r="Q27" s="776" t="str">
        <f t="shared" si="11"/>
        <v>成新率</v>
      </c>
      <c r="R27" s="777" t="s">
        <v>17</v>
      </c>
      <c r="S27" s="778" t="e">
        <f t="shared" si="12"/>
        <v>#N/A</v>
      </c>
      <c r="T27" s="777" t="s">
        <v>17</v>
      </c>
      <c r="U27" s="778" t="e">
        <f t="shared" si="13"/>
        <v>#N/A</v>
      </c>
      <c r="V27" s="777" t="s">
        <v>17</v>
      </c>
      <c r="W27" s="778" t="e">
        <f t="shared" si="14"/>
        <v>#N/A</v>
      </c>
      <c r="X27" s="779"/>
      <c r="Y27" s="325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8"/>
      <c r="Q28" s="1813" t="str">
        <f t="shared" si="11"/>
        <v>物业等级</v>
      </c>
      <c r="R28" s="774" t="s">
        <v>17</v>
      </c>
      <c r="S28" s="775">
        <f t="shared" si="12"/>
        <v>100</v>
      </c>
      <c r="T28" s="774" t="s">
        <v>17</v>
      </c>
      <c r="U28" s="775">
        <f t="shared" si="13"/>
        <v>100</v>
      </c>
      <c r="V28" s="774" t="s">
        <v>17</v>
      </c>
      <c r="W28" s="775">
        <f t="shared" si="14"/>
        <v>100</v>
      </c>
      <c r="X28" s="1816"/>
      <c r="Y28" s="3258"/>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8"/>
      <c r="Q29" s="1813" t="str">
        <f t="shared" si="11"/>
        <v>有无电梯</v>
      </c>
      <c r="R29" s="774" t="s">
        <v>17</v>
      </c>
      <c r="S29" s="775">
        <f t="shared" si="12"/>
        <v>100</v>
      </c>
      <c r="T29" s="774" t="s">
        <v>17</v>
      </c>
      <c r="U29" s="775">
        <f t="shared" si="13"/>
        <v>100</v>
      </c>
      <c r="V29" s="774" t="s">
        <v>17</v>
      </c>
      <c r="W29" s="775">
        <f t="shared" si="14"/>
        <v>100</v>
      </c>
      <c r="X29" s="1816"/>
      <c r="Y29" s="3258"/>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8"/>
      <c r="Q30" s="1813" t="str">
        <f t="shared" si="11"/>
        <v>建筑面积</v>
      </c>
      <c r="R30" s="774" t="s">
        <v>17</v>
      </c>
      <c r="S30" s="775" t="e">
        <f t="shared" si="12"/>
        <v>#N/A</v>
      </c>
      <c r="T30" s="774" t="s">
        <v>17</v>
      </c>
      <c r="U30" s="775" t="e">
        <f t="shared" si="13"/>
        <v>#N/A</v>
      </c>
      <c r="V30" s="774" t="s">
        <v>17</v>
      </c>
      <c r="W30" s="775" t="e">
        <f t="shared" si="14"/>
        <v>#N/A</v>
      </c>
      <c r="X30" s="1816"/>
      <c r="Y30" s="3258"/>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8"/>
      <c r="Q31" s="1798" t="str">
        <f t="shared" si="11"/>
        <v>是否封闭</v>
      </c>
      <c r="R31" s="770" t="s">
        <v>17</v>
      </c>
      <c r="S31" s="771">
        <f t="shared" si="12"/>
        <v>100</v>
      </c>
      <c r="T31" s="770" t="s">
        <v>17</v>
      </c>
      <c r="U31" s="771">
        <f t="shared" si="13"/>
        <v>100</v>
      </c>
      <c r="V31" s="770" t="s">
        <v>17</v>
      </c>
      <c r="W31" s="771">
        <f t="shared" si="14"/>
        <v>100</v>
      </c>
      <c r="X31" s="772"/>
      <c r="Y31" s="325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8" t="s">
        <v>2566</v>
      </c>
      <c r="Q32" s="1813">
        <f t="shared" si="11"/>
        <v>111</v>
      </c>
      <c r="R32" s="774" t="s">
        <v>17</v>
      </c>
      <c r="S32" s="775">
        <f t="shared" si="12"/>
        <v>100</v>
      </c>
      <c r="T32" s="774" t="s">
        <v>17</v>
      </c>
      <c r="U32" s="775">
        <f t="shared" si="13"/>
        <v>100</v>
      </c>
      <c r="V32" s="774" t="s">
        <v>17</v>
      </c>
      <c r="W32" s="775">
        <f t="shared" si="14"/>
        <v>100</v>
      </c>
      <c r="X32" s="1816"/>
      <c r="Y32" s="3258" t="s">
        <v>2566</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8"/>
      <c r="Q33" s="1813">
        <f t="shared" si="11"/>
        <v>111</v>
      </c>
      <c r="R33" s="774" t="s">
        <v>17</v>
      </c>
      <c r="S33" s="775">
        <f t="shared" si="12"/>
        <v>100</v>
      </c>
      <c r="T33" s="774" t="s">
        <v>17</v>
      </c>
      <c r="U33" s="775">
        <f t="shared" si="13"/>
        <v>100</v>
      </c>
      <c r="V33" s="774" t="s">
        <v>17</v>
      </c>
      <c r="W33" s="775">
        <f t="shared" si="14"/>
        <v>100</v>
      </c>
      <c r="X33" s="1816"/>
      <c r="Y33" s="3258"/>
      <c r="Z33" s="1817">
        <f t="shared" si="15"/>
        <v>111</v>
      </c>
      <c r="AA33" s="1814">
        <f t="shared" si="3"/>
        <v>1</v>
      </c>
      <c r="AB33" s="1814">
        <f t="shared" si="4"/>
        <v>1</v>
      </c>
      <c r="AC33" s="1814">
        <f t="shared" si="5"/>
        <v>1</v>
      </c>
    </row>
    <row r="34" spans="1:29" ht="15.75"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58"/>
      <c r="Q34" s="1813">
        <f t="shared" si="11"/>
        <v>111</v>
      </c>
      <c r="R34" s="774" t="s">
        <v>17</v>
      </c>
      <c r="S34" s="775">
        <f t="shared" si="12"/>
        <v>100</v>
      </c>
      <c r="T34" s="774" t="s">
        <v>17</v>
      </c>
      <c r="U34" s="775">
        <f t="shared" si="13"/>
        <v>100</v>
      </c>
      <c r="V34" s="774" t="s">
        <v>17</v>
      </c>
      <c r="W34" s="775">
        <f t="shared" si="14"/>
        <v>100</v>
      </c>
      <c r="X34" s="1816"/>
      <c r="Y34" s="325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53" t="str">
        <f>A35</f>
        <v>成交单价（元/平方米）</v>
      </c>
      <c r="Q35" s="3253"/>
      <c r="R35" s="3290">
        <f>E35</f>
        <v>0</v>
      </c>
      <c r="S35" s="3290"/>
      <c r="T35" s="3290">
        <f>G35</f>
        <v>0</v>
      </c>
      <c r="U35" s="3290"/>
      <c r="V35" s="3290">
        <f>I35</f>
        <v>0</v>
      </c>
      <c r="W35" s="3290"/>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53" t="str">
        <f>A36</f>
        <v>比较价值（元/平方米）</v>
      </c>
      <c r="Q36" s="3253"/>
      <c r="R36" s="3290" t="e">
        <f>IF(F1="售价",ROUND(PRODUCT(R35,AA7:AA34),0),ROUND(PRODUCT(R35,AA7:AA34),1))</f>
        <v>#DIV/0!</v>
      </c>
      <c r="S36" s="3290"/>
      <c r="T36" s="3290" t="e">
        <f>IF(F1="售价",ROUND(PRODUCT(T35,AB7:AB34),0),ROUND(PRODUCT(T35,AB7:AB34),1))</f>
        <v>#DIV/0!</v>
      </c>
      <c r="U36" s="3290"/>
      <c r="V36" s="3290" t="e">
        <f>IF(F1="售价",ROUND(PRODUCT(V35,AC7:AC34),0),ROUND(PRODUCT(V35,AC7:AC34),1))</f>
        <v>#DIV/0!</v>
      </c>
      <c r="W36" s="3290"/>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47" t="str">
        <f>A37</f>
        <v>估价对象XX用房的比较价值（楼面单价，元/平方米）</v>
      </c>
      <c r="Q37" s="3248"/>
      <c r="R37" s="3291" t="e">
        <f>IF(F1="售价",ROUND(AVERAGE(R36:V36),0),ROUND(AVERAGE(R36:V36),1))</f>
        <v>#DIV/0!</v>
      </c>
      <c r="S37" s="3291"/>
      <c r="T37" s="3291"/>
      <c r="U37" s="3291"/>
      <c r="V37" s="3291"/>
      <c r="W37" s="329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0" t="s">
        <v>2647</v>
      </c>
      <c r="D4" s="3263"/>
      <c r="E4" s="3264" t="s">
        <v>2648</v>
      </c>
      <c r="F4" s="3265"/>
      <c r="G4" s="3250" t="s">
        <v>2649</v>
      </c>
      <c r="H4" s="3263"/>
      <c r="I4" s="3250" t="s">
        <v>2650</v>
      </c>
      <c r="J4" s="3263"/>
      <c r="K4" s="610" t="s">
        <v>2651</v>
      </c>
      <c r="L4" s="1133"/>
      <c r="M4" s="1134"/>
      <c r="N4" s="1134"/>
      <c r="O4" s="1134"/>
      <c r="P4" s="3266" t="s">
        <v>2652</v>
      </c>
      <c r="Q4" s="3267"/>
      <c r="R4" s="3272" t="s">
        <v>2648</v>
      </c>
      <c r="S4" s="3273"/>
      <c r="T4" s="3272" t="s">
        <v>2649</v>
      </c>
      <c r="U4" s="3273"/>
      <c r="V4" s="3259" t="s">
        <v>2650</v>
      </c>
      <c r="W4" s="3259"/>
      <c r="X4" s="1816"/>
      <c r="Y4" s="3272" t="s">
        <v>2652</v>
      </c>
      <c r="Z4" s="3273"/>
      <c r="AA4" s="3260" t="s">
        <v>2648</v>
      </c>
      <c r="AB4" s="3261" t="s">
        <v>2649</v>
      </c>
      <c r="AC4" s="3260" t="s">
        <v>2650</v>
      </c>
    </row>
    <row r="5" spans="1:29" ht="15">
      <c r="A5" s="404"/>
      <c r="B5" s="405"/>
      <c r="C5" s="3280" t="s">
        <v>2543</v>
      </c>
      <c r="D5" s="3281"/>
      <c r="E5" s="3287" t="s">
        <v>2544</v>
      </c>
      <c r="F5" s="3288"/>
      <c r="G5" s="3280" t="s">
        <v>2545</v>
      </c>
      <c r="H5" s="3281"/>
      <c r="I5" s="3280" t="s">
        <v>2546</v>
      </c>
      <c r="J5" s="3281"/>
      <c r="K5" s="610"/>
      <c r="L5" s="1133"/>
      <c r="M5" s="1134"/>
      <c r="N5" s="1134"/>
      <c r="O5" s="1134"/>
      <c r="P5" s="3268"/>
      <c r="Q5" s="3269"/>
      <c r="R5" s="3274"/>
      <c r="S5" s="3275"/>
      <c r="T5" s="3274"/>
      <c r="U5" s="3275"/>
      <c r="V5" s="3259"/>
      <c r="W5" s="3259"/>
      <c r="X5" s="1816"/>
      <c r="Y5" s="3274"/>
      <c r="Z5" s="3275"/>
      <c r="AA5" s="3261"/>
      <c r="AB5" s="3261"/>
      <c r="AC5" s="3261"/>
    </row>
    <row r="6" spans="1:29" ht="15.75" thickBot="1">
      <c r="A6" s="406"/>
      <c r="B6" s="407"/>
      <c r="C6" s="3345" t="s">
        <v>2797</v>
      </c>
      <c r="D6" s="3346"/>
      <c r="E6" s="3347" t="s">
        <v>2797</v>
      </c>
      <c r="F6" s="3348"/>
      <c r="G6" s="3345" t="s">
        <v>2797</v>
      </c>
      <c r="H6" s="3346"/>
      <c r="I6" s="3345" t="s">
        <v>2797</v>
      </c>
      <c r="J6" s="3346"/>
      <c r="K6" s="610" t="s">
        <v>2548</v>
      </c>
      <c r="L6" s="1133"/>
      <c r="M6" s="1134"/>
      <c r="N6" s="1134"/>
      <c r="O6" s="1134"/>
      <c r="P6" s="3270"/>
      <c r="Q6" s="3271"/>
      <c r="R6" s="3274"/>
      <c r="S6" s="3275"/>
      <c r="T6" s="3276"/>
      <c r="U6" s="3277"/>
      <c r="V6" s="3259"/>
      <c r="W6" s="3259"/>
      <c r="X6" s="1816"/>
      <c r="Y6" s="3276"/>
      <c r="Z6" s="3277"/>
      <c r="AA6" s="3262"/>
      <c r="AB6" s="3262"/>
      <c r="AC6" s="3262"/>
    </row>
    <row r="7" spans="1:29" s="117" customFormat="1" ht="15.75" thickBot="1">
      <c r="A7" s="408" t="s">
        <v>2549</v>
      </c>
      <c r="B7" s="409"/>
      <c r="C7" s="410">
        <f>'数据-取费表'!B2</f>
        <v>43532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82" t="s">
        <v>2550</v>
      </c>
      <c r="Q7" s="3284"/>
      <c r="R7" s="770" t="s">
        <v>17</v>
      </c>
      <c r="S7" s="771">
        <f t="shared" ref="S7:S15" si="0">F7</f>
        <v>0</v>
      </c>
      <c r="T7" s="770" t="s">
        <v>17</v>
      </c>
      <c r="U7" s="771">
        <f t="shared" ref="U7:U15" si="1">H7</f>
        <v>0</v>
      </c>
      <c r="V7" s="770" t="s">
        <v>17</v>
      </c>
      <c r="W7" s="771">
        <f t="shared" ref="W7:W15" si="2">J7</f>
        <v>0</v>
      </c>
      <c r="X7" s="772"/>
      <c r="Y7" s="3282" t="s">
        <v>2550</v>
      </c>
      <c r="Z7" s="3283"/>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82" t="s">
        <v>2553</v>
      </c>
      <c r="Q8" s="3283"/>
      <c r="R8" s="770" t="s">
        <v>17</v>
      </c>
      <c r="S8" s="771">
        <f t="shared" si="0"/>
        <v>0</v>
      </c>
      <c r="T8" s="770" t="s">
        <v>17</v>
      </c>
      <c r="U8" s="771">
        <f t="shared" si="1"/>
        <v>0</v>
      </c>
      <c r="V8" s="770" t="s">
        <v>17</v>
      </c>
      <c r="W8" s="771">
        <f t="shared" si="2"/>
        <v>0</v>
      </c>
      <c r="X8" s="772"/>
      <c r="Y8" s="3282" t="s">
        <v>2553</v>
      </c>
      <c r="Z8" s="3283"/>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53" t="s">
        <v>2556</v>
      </c>
      <c r="Q9" s="1798" t="str">
        <f t="shared" ref="Q9:Q15" si="6">B9</f>
        <v>用途</v>
      </c>
      <c r="R9" s="770" t="s">
        <v>17</v>
      </c>
      <c r="S9" s="771">
        <f t="shared" si="0"/>
        <v>100</v>
      </c>
      <c r="T9" s="770" t="s">
        <v>17</v>
      </c>
      <c r="U9" s="771">
        <f t="shared" si="1"/>
        <v>100</v>
      </c>
      <c r="V9" s="770" t="s">
        <v>17</v>
      </c>
      <c r="W9" s="771">
        <f t="shared" si="2"/>
        <v>100</v>
      </c>
      <c r="X9" s="772"/>
      <c r="Y9" s="307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116</v>
      </c>
      <c r="G10" s="432"/>
      <c r="H10" s="136">
        <f>ROUND(100/'数据-取费表'!G16,0)</f>
        <v>116</v>
      </c>
      <c r="I10" s="432"/>
      <c r="J10" s="136">
        <f>ROUND(100/'数据-取费表'!G16,0)</f>
        <v>116</v>
      </c>
      <c r="K10" s="672"/>
      <c r="L10" s="1138"/>
      <c r="M10" s="1139"/>
      <c r="N10" s="1139"/>
      <c r="O10" s="1140"/>
      <c r="P10" s="3253"/>
      <c r="Q10" s="1798" t="str">
        <f t="shared" si="6"/>
        <v>土地使用年限（年）</v>
      </c>
      <c r="R10" s="770" t="s">
        <v>17</v>
      </c>
      <c r="S10" s="771">
        <f t="shared" si="0"/>
        <v>116</v>
      </c>
      <c r="T10" s="770" t="s">
        <v>17</v>
      </c>
      <c r="U10" s="771">
        <f t="shared" si="1"/>
        <v>116</v>
      </c>
      <c r="V10" s="770" t="s">
        <v>17</v>
      </c>
      <c r="W10" s="771">
        <f t="shared" si="2"/>
        <v>116</v>
      </c>
      <c r="X10" s="772"/>
      <c r="Y10" s="3077"/>
      <c r="Z10" s="55" t="str">
        <f t="shared" si="7"/>
        <v>土地使用年限（年）</v>
      </c>
      <c r="AA10" s="773">
        <f t="shared" si="3"/>
        <v>0.86206896551724133</v>
      </c>
      <c r="AB10" s="773">
        <f t="shared" si="4"/>
        <v>0.86206896551724133</v>
      </c>
      <c r="AC10" s="773">
        <f t="shared" si="5"/>
        <v>0.86206896551724133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53"/>
      <c r="Q11" s="1798" t="str">
        <f t="shared" si="6"/>
        <v>容积率</v>
      </c>
      <c r="R11" s="770" t="s">
        <v>17</v>
      </c>
      <c r="S11" s="771" t="e">
        <f t="shared" si="0"/>
        <v>#N/A</v>
      </c>
      <c r="T11" s="770" t="s">
        <v>17</v>
      </c>
      <c r="U11" s="771" t="e">
        <f t="shared" si="1"/>
        <v>#N/A</v>
      </c>
      <c r="V11" s="770" t="s">
        <v>17</v>
      </c>
      <c r="W11" s="771" t="e">
        <f t="shared" si="2"/>
        <v>#N/A</v>
      </c>
      <c r="X11" s="772"/>
      <c r="Y11" s="3077"/>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53"/>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53"/>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53"/>
      <c r="Q14" s="1798">
        <f t="shared" si="6"/>
        <v>111</v>
      </c>
      <c r="R14" s="770" t="s">
        <v>17</v>
      </c>
      <c r="S14" s="771">
        <f t="shared" si="0"/>
        <v>100</v>
      </c>
      <c r="T14" s="770" t="s">
        <v>17</v>
      </c>
      <c r="U14" s="771">
        <f t="shared" si="1"/>
        <v>100</v>
      </c>
      <c r="V14" s="770" t="s">
        <v>17</v>
      </c>
      <c r="W14" s="771">
        <f t="shared" si="2"/>
        <v>100</v>
      </c>
      <c r="X14" s="772"/>
      <c r="Y14" s="3077"/>
      <c r="Z14" s="55">
        <f t="shared" si="7"/>
        <v>111</v>
      </c>
      <c r="AA14" s="773">
        <f t="shared" si="3"/>
        <v>1</v>
      </c>
      <c r="AB14" s="773">
        <f t="shared" si="4"/>
        <v>1</v>
      </c>
      <c r="AC14" s="773">
        <f t="shared" si="5"/>
        <v>1</v>
      </c>
    </row>
    <row r="15" spans="1:29" ht="57">
      <c r="A15" s="440" t="s">
        <v>2560</v>
      </c>
      <c r="B15" s="629" t="s">
        <v>2798</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5" t="s">
        <v>2561</v>
      </c>
      <c r="Q15" s="1813" t="str">
        <f t="shared" si="6"/>
        <v>产业集聚程度</v>
      </c>
      <c r="R15" s="774" t="s">
        <v>17</v>
      </c>
      <c r="S15" s="775">
        <f t="shared" si="0"/>
        <v>100</v>
      </c>
      <c r="T15" s="774" t="s">
        <v>17</v>
      </c>
      <c r="U15" s="775">
        <f t="shared" si="1"/>
        <v>100</v>
      </c>
      <c r="V15" s="774" t="s">
        <v>17</v>
      </c>
      <c r="W15" s="775">
        <f t="shared" si="2"/>
        <v>100</v>
      </c>
      <c r="X15" s="1816"/>
      <c r="Y15" s="3255" t="s">
        <v>2561</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56"/>
      <c r="Q16" s="1813"/>
      <c r="R16" s="774"/>
      <c r="S16" s="775"/>
      <c r="T16" s="774"/>
      <c r="U16" s="775"/>
      <c r="V16" s="774"/>
      <c r="W16" s="775"/>
      <c r="X16" s="1816"/>
      <c r="Y16" s="3256"/>
      <c r="Z16" s="1817"/>
      <c r="AA16" s="1814">
        <v>1</v>
      </c>
      <c r="AB16" s="1814">
        <v>1</v>
      </c>
      <c r="AC16" s="1814">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6"/>
      <c r="Q17" s="1813" t="str">
        <f>B17</f>
        <v>交通便捷度</v>
      </c>
      <c r="R17" s="774" t="s">
        <v>17</v>
      </c>
      <c r="S17" s="775">
        <f>F17</f>
        <v>100</v>
      </c>
      <c r="T17" s="774" t="s">
        <v>17</v>
      </c>
      <c r="U17" s="775">
        <f>H17</f>
        <v>100</v>
      </c>
      <c r="V17" s="774" t="s">
        <v>17</v>
      </c>
      <c r="W17" s="775">
        <f>J17</f>
        <v>100</v>
      </c>
      <c r="X17" s="1816"/>
      <c r="Y17" s="3256"/>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56"/>
      <c r="Q18" s="1813"/>
      <c r="R18" s="774"/>
      <c r="S18" s="775"/>
      <c r="T18" s="774"/>
      <c r="U18" s="775"/>
      <c r="V18" s="774"/>
      <c r="W18" s="775"/>
      <c r="X18" s="1816"/>
      <c r="Y18" s="3256"/>
      <c r="Z18" s="1817"/>
      <c r="AA18" s="1814">
        <v>1</v>
      </c>
      <c r="AB18" s="1814">
        <v>1</v>
      </c>
      <c r="AC18" s="1814">
        <v>1</v>
      </c>
    </row>
    <row r="19" spans="1:29" ht="15">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6"/>
      <c r="Q19" s="1813" t="str">
        <f t="shared" ref="Q19:Q33" si="8">B19</f>
        <v>区域土地利用方向</v>
      </c>
      <c r="R19" s="774" t="s">
        <v>17</v>
      </c>
      <c r="S19" s="775">
        <f>F19</f>
        <v>100</v>
      </c>
      <c r="T19" s="774" t="s">
        <v>17</v>
      </c>
      <c r="U19" s="775">
        <f>H19</f>
        <v>100</v>
      </c>
      <c r="V19" s="774" t="s">
        <v>17</v>
      </c>
      <c r="W19" s="775">
        <f>J19</f>
        <v>100</v>
      </c>
      <c r="X19" s="1816"/>
      <c r="Y19" s="3256"/>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56"/>
      <c r="Q20" s="1813"/>
      <c r="R20" s="774"/>
      <c r="S20" s="775"/>
      <c r="T20" s="774"/>
      <c r="U20" s="775"/>
      <c r="V20" s="774"/>
      <c r="W20" s="775"/>
      <c r="X20" s="1816"/>
      <c r="Y20" s="3256"/>
      <c r="Z20" s="1817"/>
      <c r="AA20" s="1814"/>
      <c r="AB20" s="1814"/>
      <c r="AC20" s="1814"/>
    </row>
    <row r="21" spans="1:29" ht="71.25">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6"/>
      <c r="Q21" s="1813" t="str">
        <f t="shared" si="8"/>
        <v>环境状况</v>
      </c>
      <c r="R21" s="774" t="s">
        <v>17</v>
      </c>
      <c r="S21" s="775">
        <f>F21</f>
        <v>100</v>
      </c>
      <c r="T21" s="774" t="s">
        <v>17</v>
      </c>
      <c r="U21" s="775">
        <f>H21</f>
        <v>100</v>
      </c>
      <c r="V21" s="774" t="s">
        <v>17</v>
      </c>
      <c r="W21" s="775">
        <f>J21</f>
        <v>100</v>
      </c>
      <c r="X21" s="1816"/>
      <c r="Y21" s="3256"/>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56"/>
      <c r="Q22" s="1813"/>
      <c r="R22" s="774"/>
      <c r="S22" s="775"/>
      <c r="T22" s="774"/>
      <c r="U22" s="775"/>
      <c r="V22" s="774"/>
      <c r="W22" s="775"/>
      <c r="X22" s="1816"/>
      <c r="Y22" s="3256"/>
      <c r="Z22" s="1817"/>
      <c r="AA22" s="1814">
        <v>1</v>
      </c>
      <c r="AB22" s="1814">
        <v>1</v>
      </c>
      <c r="AC22" s="1814">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6"/>
      <c r="Q23" s="1798" t="str">
        <f t="shared" si="8"/>
        <v>公共配套设施</v>
      </c>
      <c r="R23" s="770" t="s">
        <v>17</v>
      </c>
      <c r="S23" s="771">
        <f>F23</f>
        <v>100</v>
      </c>
      <c r="T23" s="770" t="s">
        <v>17</v>
      </c>
      <c r="U23" s="771">
        <f>H23</f>
        <v>100</v>
      </c>
      <c r="V23" s="770" t="s">
        <v>17</v>
      </c>
      <c r="W23" s="771">
        <f>J23</f>
        <v>100</v>
      </c>
      <c r="X23" s="772"/>
      <c r="Y23" s="3256"/>
      <c r="Z23" s="55" t="str">
        <f>Q23</f>
        <v>公共配套设施</v>
      </c>
      <c r="AA23" s="1814">
        <f>D23/F23</f>
        <v>1</v>
      </c>
      <c r="AB23" s="1814">
        <f>D23/H23</f>
        <v>1</v>
      </c>
      <c r="AC23" s="1814">
        <f>D23/J23</f>
        <v>1</v>
      </c>
    </row>
    <row r="24" spans="1:29" s="117" customFormat="1" ht="15">
      <c r="A24" s="649"/>
      <c r="B24" s="632"/>
      <c r="C24" s="2705"/>
      <c r="D24" s="448"/>
      <c r="E24" s="2617"/>
      <c r="F24" s="448"/>
      <c r="G24" s="2617"/>
      <c r="H24" s="448"/>
      <c r="I24" s="447"/>
      <c r="J24" s="448"/>
      <c r="K24" s="672"/>
      <c r="L24" s="1135"/>
      <c r="M24" s="1136"/>
      <c r="N24" s="1136"/>
      <c r="O24" s="1137"/>
      <c r="P24" s="3256"/>
      <c r="Q24" s="1798"/>
      <c r="R24" s="770"/>
      <c r="S24" s="771"/>
      <c r="T24" s="770"/>
      <c r="U24" s="771"/>
      <c r="V24" s="770"/>
      <c r="W24" s="771"/>
      <c r="X24" s="772"/>
      <c r="Y24" s="3256"/>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6"/>
      <c r="Q25" s="1798" t="str">
        <f t="shared" ref="Q25" si="9">B25</f>
        <v>基础设施水平</v>
      </c>
      <c r="R25" s="770" t="s">
        <v>17</v>
      </c>
      <c r="S25" s="771">
        <f>F25</f>
        <v>100</v>
      </c>
      <c r="T25" s="770" t="s">
        <v>17</v>
      </c>
      <c r="U25" s="771">
        <f>H25</f>
        <v>100</v>
      </c>
      <c r="V25" s="770" t="s">
        <v>17</v>
      </c>
      <c r="W25" s="771">
        <f>J25</f>
        <v>100</v>
      </c>
      <c r="X25" s="772"/>
      <c r="Y25" s="3256"/>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56"/>
      <c r="Q26" s="1798"/>
      <c r="R26" s="770"/>
      <c r="S26" s="771"/>
      <c r="T26" s="770"/>
      <c r="U26" s="771"/>
      <c r="V26" s="770"/>
      <c r="W26" s="771"/>
      <c r="X26" s="772"/>
      <c r="Y26" s="325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56"/>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6"/>
      <c r="Q28" s="1813" t="str">
        <f t="shared" si="8"/>
        <v>毗邻道路的类型与等级</v>
      </c>
      <c r="R28" s="774" t="s">
        <v>17</v>
      </c>
      <c r="S28" s="775">
        <f t="shared" si="10"/>
        <v>100</v>
      </c>
      <c r="T28" s="774" t="s">
        <v>17</v>
      </c>
      <c r="U28" s="775">
        <f t="shared" si="11"/>
        <v>100</v>
      </c>
      <c r="V28" s="774" t="s">
        <v>17</v>
      </c>
      <c r="W28" s="775">
        <f t="shared" si="12"/>
        <v>100</v>
      </c>
      <c r="X28" s="1816"/>
      <c r="Y28" s="3256"/>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56"/>
      <c r="Q29" s="1813"/>
      <c r="R29" s="774"/>
      <c r="S29" s="775"/>
      <c r="T29" s="774"/>
      <c r="U29" s="775"/>
      <c r="V29" s="774"/>
      <c r="W29" s="775"/>
      <c r="X29" s="1816"/>
      <c r="Y29" s="3256"/>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6"/>
      <c r="Q30" s="1813" t="str">
        <f t="shared" si="8"/>
        <v>土地级别</v>
      </c>
      <c r="R30" s="774" t="s">
        <v>17</v>
      </c>
      <c r="S30" s="775">
        <f t="shared" si="10"/>
        <v>100</v>
      </c>
      <c r="T30" s="774" t="s">
        <v>17</v>
      </c>
      <c r="U30" s="775">
        <f t="shared" si="11"/>
        <v>100</v>
      </c>
      <c r="V30" s="774" t="s">
        <v>17</v>
      </c>
      <c r="W30" s="775">
        <f t="shared" si="12"/>
        <v>100</v>
      </c>
      <c r="X30" s="1816"/>
      <c r="Y30" s="3256"/>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6"/>
      <c r="Q31" s="1813">
        <f t="shared" si="8"/>
        <v>111</v>
      </c>
      <c r="R31" s="774" t="s">
        <v>17</v>
      </c>
      <c r="S31" s="775">
        <f t="shared" si="10"/>
        <v>100</v>
      </c>
      <c r="T31" s="774" t="s">
        <v>17</v>
      </c>
      <c r="U31" s="775">
        <f t="shared" si="11"/>
        <v>100</v>
      </c>
      <c r="V31" s="774" t="s">
        <v>17</v>
      </c>
      <c r="W31" s="775">
        <f t="shared" si="12"/>
        <v>100</v>
      </c>
      <c r="X31" s="1816"/>
      <c r="Y31" s="3256"/>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7" t="s">
        <v>2566</v>
      </c>
      <c r="Q32" s="1813">
        <f t="shared" si="8"/>
        <v>111</v>
      </c>
      <c r="R32" s="774" t="s">
        <v>17</v>
      </c>
      <c r="S32" s="775">
        <f t="shared" si="10"/>
        <v>100</v>
      </c>
      <c r="T32" s="774" t="s">
        <v>17</v>
      </c>
      <c r="U32" s="775">
        <f t="shared" si="11"/>
        <v>100</v>
      </c>
      <c r="V32" s="774" t="s">
        <v>17</v>
      </c>
      <c r="W32" s="775">
        <f t="shared" si="12"/>
        <v>100</v>
      </c>
      <c r="X32" s="1816"/>
      <c r="Y32" s="3258"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8"/>
      <c r="Q33" s="1813">
        <f t="shared" si="8"/>
        <v>111</v>
      </c>
      <c r="R33" s="777" t="s">
        <v>17</v>
      </c>
      <c r="S33" s="778">
        <f t="shared" si="10"/>
        <v>100</v>
      </c>
      <c r="T33" s="777" t="s">
        <v>17</v>
      </c>
      <c r="U33" s="778">
        <f t="shared" si="11"/>
        <v>100</v>
      </c>
      <c r="V33" s="777" t="s">
        <v>17</v>
      </c>
      <c r="W33" s="778">
        <f t="shared" si="12"/>
        <v>100</v>
      </c>
      <c r="X33" s="779"/>
      <c r="Y33" s="3258"/>
      <c r="Z33" s="780">
        <f t="shared" si="13"/>
        <v>111</v>
      </c>
      <c r="AA33" s="1814">
        <f t="shared" si="3"/>
        <v>1</v>
      </c>
      <c r="AB33" s="1814">
        <f t="shared" si="4"/>
        <v>1</v>
      </c>
      <c r="AC33" s="1814">
        <f t="shared" si="5"/>
        <v>1</v>
      </c>
    </row>
    <row r="34" spans="1:29" ht="15">
      <c r="A34" s="440" t="s">
        <v>2564</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8"/>
      <c r="Q34" s="1813" t="str">
        <f>B34</f>
        <v>宗地面积</v>
      </c>
      <c r="R34" s="774" t="s">
        <v>17</v>
      </c>
      <c r="S34" s="775" t="e">
        <f t="shared" si="10"/>
        <v>#N/A</v>
      </c>
      <c r="T34" s="774" t="s">
        <v>17</v>
      </c>
      <c r="U34" s="775" t="e">
        <f t="shared" si="11"/>
        <v>#N/A</v>
      </c>
      <c r="V34" s="774" t="s">
        <v>17</v>
      </c>
      <c r="W34" s="775" t="e">
        <f t="shared" si="12"/>
        <v>#N/A</v>
      </c>
      <c r="X34" s="1816"/>
      <c r="Y34" s="3258"/>
      <c r="Z34" s="1817" t="str">
        <f t="shared" si="13"/>
        <v>宗地面积</v>
      </c>
      <c r="AA34" s="1814" t="e">
        <f t="shared" si="3"/>
        <v>#N/A</v>
      </c>
      <c r="AB34" s="1814" t="e">
        <f t="shared" si="4"/>
        <v>#N/A</v>
      </c>
      <c r="AC34" s="1814"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58"/>
      <c r="Q35" s="1813" t="str">
        <f t="shared" ref="Q35:Q40" si="14">B35</f>
        <v>宗地形状</v>
      </c>
      <c r="R35" s="774" t="s">
        <v>17</v>
      </c>
      <c r="S35" s="775">
        <f t="shared" si="10"/>
        <v>100</v>
      </c>
      <c r="T35" s="774" t="s">
        <v>17</v>
      </c>
      <c r="U35" s="775">
        <f t="shared" si="11"/>
        <v>100</v>
      </c>
      <c r="V35" s="774" t="s">
        <v>17</v>
      </c>
      <c r="W35" s="775">
        <f t="shared" si="12"/>
        <v>100</v>
      </c>
      <c r="X35" s="1816"/>
      <c r="Y35" s="3258"/>
      <c r="Z35" s="1817" t="str">
        <f t="shared" si="13"/>
        <v>宗地形状</v>
      </c>
      <c r="AA35" s="1814">
        <f t="shared" si="3"/>
        <v>1</v>
      </c>
      <c r="AB35" s="1814">
        <f t="shared" si="4"/>
        <v>1</v>
      </c>
      <c r="AC35" s="1814">
        <f t="shared" si="5"/>
        <v>1</v>
      </c>
    </row>
    <row r="36" spans="1:29" s="117" customFormat="1" ht="15">
      <c r="A36" s="473"/>
      <c r="B36" s="422" t="s">
        <v>2754</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58"/>
      <c r="Q36" s="1813" t="str">
        <f t="shared" si="14"/>
        <v>宗地开发程度</v>
      </c>
      <c r="R36" s="770" t="s">
        <v>17</v>
      </c>
      <c r="S36" s="771">
        <f t="shared" si="10"/>
        <v>100</v>
      </c>
      <c r="T36" s="770" t="s">
        <v>17</v>
      </c>
      <c r="U36" s="771">
        <f t="shared" si="11"/>
        <v>100</v>
      </c>
      <c r="V36" s="770" t="s">
        <v>17</v>
      </c>
      <c r="W36" s="771">
        <f t="shared" si="12"/>
        <v>100</v>
      </c>
      <c r="X36" s="772"/>
      <c r="Y36" s="3258"/>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58" t="s">
        <v>2566</v>
      </c>
      <c r="Q37" s="1813" t="str">
        <f t="shared" si="14"/>
        <v>工程地质条件</v>
      </c>
      <c r="R37" s="774" t="s">
        <v>17</v>
      </c>
      <c r="S37" s="775">
        <f t="shared" si="10"/>
        <v>100</v>
      </c>
      <c r="T37" s="774" t="s">
        <v>17</v>
      </c>
      <c r="U37" s="775">
        <f t="shared" si="11"/>
        <v>100</v>
      </c>
      <c r="V37" s="774" t="s">
        <v>17</v>
      </c>
      <c r="W37" s="775">
        <f t="shared" si="12"/>
        <v>100</v>
      </c>
      <c r="X37" s="1816"/>
      <c r="Y37" s="325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8"/>
      <c r="Q38" s="1813">
        <f t="shared" si="14"/>
        <v>111</v>
      </c>
      <c r="R38" s="774" t="s">
        <v>17</v>
      </c>
      <c r="S38" s="775">
        <f t="shared" si="10"/>
        <v>100</v>
      </c>
      <c r="T38" s="774" t="s">
        <v>17</v>
      </c>
      <c r="U38" s="775">
        <f t="shared" si="11"/>
        <v>100</v>
      </c>
      <c r="V38" s="774" t="s">
        <v>17</v>
      </c>
      <c r="W38" s="775">
        <f t="shared" si="12"/>
        <v>100</v>
      </c>
      <c r="X38" s="1816"/>
      <c r="Y38" s="325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8"/>
      <c r="Q39" s="1813">
        <f t="shared" si="14"/>
        <v>111</v>
      </c>
      <c r="R39" s="774" t="s">
        <v>17</v>
      </c>
      <c r="S39" s="775">
        <f t="shared" si="10"/>
        <v>100</v>
      </c>
      <c r="T39" s="774" t="s">
        <v>17</v>
      </c>
      <c r="U39" s="775">
        <f t="shared" si="11"/>
        <v>100</v>
      </c>
      <c r="V39" s="774" t="s">
        <v>17</v>
      </c>
      <c r="W39" s="775">
        <f t="shared" si="12"/>
        <v>100</v>
      </c>
      <c r="X39" s="1816"/>
      <c r="Y39" s="3258"/>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8"/>
      <c r="Q40" s="1813">
        <f t="shared" si="14"/>
        <v>111</v>
      </c>
      <c r="R40" s="777" t="s">
        <v>17</v>
      </c>
      <c r="S40" s="778">
        <f t="shared" si="10"/>
        <v>100</v>
      </c>
      <c r="T40" s="777" t="s">
        <v>17</v>
      </c>
      <c r="U40" s="778">
        <f t="shared" si="11"/>
        <v>100</v>
      </c>
      <c r="V40" s="777" t="s">
        <v>17</v>
      </c>
      <c r="W40" s="778">
        <f t="shared" si="12"/>
        <v>100</v>
      </c>
      <c r="X40" s="779"/>
      <c r="Y40" s="3258"/>
      <c r="Z40" s="780">
        <f t="shared" si="13"/>
        <v>111</v>
      </c>
      <c r="AA40" s="1814">
        <f t="shared" si="3"/>
        <v>1</v>
      </c>
      <c r="AB40" s="1814">
        <f t="shared" si="4"/>
        <v>1</v>
      </c>
      <c r="AC40" s="1814">
        <f t="shared" si="5"/>
        <v>1</v>
      </c>
    </row>
    <row r="41" spans="1:29" ht="15">
      <c r="A41" s="479" t="s">
        <v>2721</v>
      </c>
      <c r="B41" s="2709" t="s">
        <v>2800</v>
      </c>
      <c r="C41" s="682" t="s">
        <v>1</v>
      </c>
      <c r="D41" s="481"/>
      <c r="E41" s="482"/>
      <c r="F41" s="483"/>
      <c r="G41" s="484"/>
      <c r="H41" s="485"/>
      <c r="I41" s="482"/>
      <c r="J41" s="485"/>
      <c r="K41" s="783"/>
      <c r="L41" s="1146"/>
      <c r="M41" s="1134"/>
      <c r="N41" s="1134"/>
      <c r="O41" s="1147"/>
      <c r="P41" s="3253" t="str">
        <f>A41</f>
        <v>成交单价</v>
      </c>
      <c r="Q41" s="3253"/>
      <c r="R41" s="3259">
        <f>E41</f>
        <v>0</v>
      </c>
      <c r="S41" s="3259"/>
      <c r="T41" s="3259">
        <f>G41</f>
        <v>0</v>
      </c>
      <c r="U41" s="3259"/>
      <c r="V41" s="3259">
        <f>I41</f>
        <v>0</v>
      </c>
      <c r="W41" s="3259"/>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53" t="str">
        <f>A42</f>
        <v>比较价值（元/平方米）</v>
      </c>
      <c r="Q42" s="3253"/>
      <c r="R42" s="3246" t="e">
        <f>ROUND(PRODUCT(R41,AA7:AA40),0)</f>
        <v>#DIV/0!</v>
      </c>
      <c r="S42" s="3246"/>
      <c r="T42" s="3246" t="e">
        <f>ROUND(PRODUCT(T41,AB7:AB40),0)</f>
        <v>#DIV/0!</v>
      </c>
      <c r="U42" s="3246"/>
      <c r="V42" s="3246" t="e">
        <f>ROUND(PRODUCT(V41,AC7:AC40),0)</f>
        <v>#DIV/0!</v>
      </c>
      <c r="W42" s="3246"/>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47" t="str">
        <f>A43</f>
        <v>估价对象XX用房的比较价值（楼面单价，元/平方米）</v>
      </c>
      <c r="Q43" s="3248"/>
      <c r="R43" s="3249" t="e">
        <f>ROUND(AVERAGE(R42:V42),0)</f>
        <v>#DIV/0!</v>
      </c>
      <c r="S43" s="3249"/>
      <c r="T43" s="3249"/>
      <c r="U43" s="3249"/>
      <c r="V43" s="3249"/>
      <c r="W43" s="324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0" t="s">
        <v>2760</v>
      </c>
      <c r="D50" s="2711" t="s">
        <v>2761</v>
      </c>
      <c r="E50" s="686" t="s">
        <v>2762</v>
      </c>
      <c r="F50" s="687" t="s">
        <v>2763</v>
      </c>
      <c r="G50" s="3250" t="s">
        <v>2764</v>
      </c>
      <c r="H50" s="3251"/>
      <c r="I50" s="1817" t="s">
        <v>2801</v>
      </c>
      <c r="J50" s="1817">
        <f>项目基本情况!F35</f>
        <v>0</v>
      </c>
      <c r="K50" s="2713" t="s">
        <v>2766</v>
      </c>
      <c r="L50" s="1109"/>
      <c r="M50" s="1147"/>
      <c r="N50" s="1147"/>
      <c r="O50" s="1147"/>
    </row>
    <row r="51" spans="1:17" s="692" customFormat="1">
      <c r="A51" s="688" t="s">
        <v>2767</v>
      </c>
      <c r="B51" s="689" t="e">
        <f>C43</f>
        <v>#DIV/0!</v>
      </c>
      <c r="C51" s="690">
        <v>1</v>
      </c>
      <c r="D51" s="1166">
        <v>1</v>
      </c>
      <c r="E51" s="690">
        <f>'数据-汇总表'!E8+'数据-汇总表'!E9</f>
        <v>24473.659999999996</v>
      </c>
      <c r="F51" s="691" t="e">
        <f t="shared" ref="F51:F60" si="15">ROUND(B51*E51/10000,0)</f>
        <v>#DIV/0!</v>
      </c>
      <c r="G51" s="3252"/>
      <c r="H51" s="3253"/>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54"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54"/>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54"/>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54"/>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4"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4"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5"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3961.76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2782</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1"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2804</v>
      </c>
      <c r="B1" s="241"/>
      <c r="C1" s="245" t="s">
        <v>2805</v>
      </c>
      <c r="D1" s="388">
        <f>SUM(D29:D30,D33:D39)</f>
        <v>0</v>
      </c>
      <c r="E1" s="2722"/>
      <c r="F1" s="2722"/>
      <c r="G1" s="2722"/>
      <c r="H1" s="2722"/>
      <c r="I1" s="2722"/>
      <c r="J1" s="2722"/>
      <c r="K1" s="1373"/>
      <c r="L1" s="2723" t="s">
        <v>2806</v>
      </c>
      <c r="M1" s="1083">
        <f>SUMPRODUCT((区片价!B5:B9=I2)*(区片价!C3:F3=E2)*(区片价!C5:F9))</f>
        <v>0</v>
      </c>
      <c r="N1" s="1086">
        <f>SUMPRODUCT((因素修正幅度!B5:B9=I2)*(因素修正幅度!C3:F3=E2)*(因素修正幅度!C5:F9))</f>
        <v>0</v>
      </c>
      <c r="O1" s="2724"/>
      <c r="P1" s="2724"/>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6" t="s">
        <v>2813</v>
      </c>
      <c r="D2" s="2727" t="s">
        <v>2814</v>
      </c>
      <c r="E2" s="2728"/>
      <c r="F2" s="2727" t="s">
        <v>2815</v>
      </c>
      <c r="G2" s="2729">
        <f>IF(E2="商业",项目基本情况!B37,IF(E2="办公",项目基本情况!C37,IF(E2="住宅",项目基本情况!D37,项目基本情况!E37)))</f>
        <v>0</v>
      </c>
      <c r="H2" s="2727" t="s">
        <v>2816</v>
      </c>
      <c r="I2" s="2729">
        <f>IF(E2="商业",项目基本情况!B38,IF(E2="办公",项目基本情况!C38,IF(E2="住宅",项目基本情况!D38,项目基本情况!E38)))</f>
        <v>0</v>
      </c>
      <c r="J2" s="2730"/>
      <c r="K2" s="1373"/>
      <c r="L2" s="2731"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6" t="s">
        <v>2819</v>
      </c>
      <c r="D3" s="2727" t="s">
        <v>2820</v>
      </c>
      <c r="E3" s="2732"/>
      <c r="F3" s="2733" t="s">
        <v>2821</v>
      </c>
      <c r="G3" s="916">
        <f>IF(F3="宗地容积率",'数据-汇总表'!I4,IF(F3="估价对象容积率",'数据-汇总表'!I6,'数据-汇总表'!I7))</f>
        <v>6.18</v>
      </c>
      <c r="H3" s="198" t="s">
        <v>2822</v>
      </c>
      <c r="I3" s="947"/>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52"/>
      <c r="B4" s="3353"/>
      <c r="C4" s="3353"/>
      <c r="D4" s="3354"/>
      <c r="E4" s="3354"/>
      <c r="F4" s="3354"/>
      <c r="G4" s="3354"/>
      <c r="H4" s="3354"/>
      <c r="I4" s="3354"/>
      <c r="J4" s="3355"/>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56" t="str">
        <f>IF(E2="商业",IF(C8="不临58条商业街","",2),"")</f>
        <v/>
      </c>
      <c r="B7" s="2750" t="s">
        <v>2832</v>
      </c>
      <c r="C7" s="919" t="e">
        <f>IF(C8="不临58条商业街",1,ROUND(1+(1.6*E8+1.2*E9+0.8*E10+0.4*E11)*C9,4))</f>
        <v>#DIV/0!</v>
      </c>
      <c r="D7" s="2751" t="s">
        <v>2833</v>
      </c>
      <c r="E7" s="948"/>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2835</v>
      </c>
      <c r="X7" s="1607">
        <f>G2</f>
        <v>0</v>
      </c>
      <c r="Y7" s="1607" t="s">
        <v>2836</v>
      </c>
      <c r="Z7" s="1608">
        <f>G3</f>
        <v>6.18</v>
      </c>
      <c r="AA7" s="1609"/>
      <c r="AB7" s="1609"/>
      <c r="AC7" s="1610"/>
      <c r="AD7" s="1611"/>
      <c r="AE7" s="1611"/>
      <c r="AF7" s="1611"/>
      <c r="AG7" s="1611"/>
      <c r="AH7" s="1611"/>
      <c r="AI7" s="1611"/>
      <c r="AJ7" s="1612"/>
    </row>
    <row r="8" spans="1:36" ht="15">
      <c r="A8" s="3357"/>
      <c r="B8" s="198"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49" t="s">
        <v>2840</v>
      </c>
      <c r="X8" s="3350"/>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357"/>
      <c r="B9" s="198" t="s">
        <v>2853</v>
      </c>
      <c r="C9" s="922">
        <f>SUMIF(修正!C59:C119,C8,修正!E59:E119)</f>
        <v>0</v>
      </c>
      <c r="D9" s="200" t="s">
        <v>140</v>
      </c>
      <c r="E9" s="200"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51"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57"/>
      <c r="B10" s="198" t="s">
        <v>2858</v>
      </c>
      <c r="C10" s="200">
        <f>SUMIF(修正!C59:C119,C8,修正!F59:F119)</f>
        <v>0</v>
      </c>
      <c r="D10" s="200" t="s">
        <v>141</v>
      </c>
      <c r="E10" s="200"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5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57"/>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51" t="s">
        <v>2864</v>
      </c>
      <c r="X11" s="1617" t="s">
        <v>2865</v>
      </c>
      <c r="Y11" s="1618">
        <f>$G$3</f>
        <v>6.18</v>
      </c>
      <c r="Z11" s="1618">
        <f t="shared" ref="Z11:AJ11" si="3">$G$3</f>
        <v>6.18</v>
      </c>
      <c r="AA11" s="1618">
        <f t="shared" si="3"/>
        <v>6.18</v>
      </c>
      <c r="AB11" s="1618">
        <f t="shared" si="3"/>
        <v>6.18</v>
      </c>
      <c r="AC11" s="1618">
        <f t="shared" si="3"/>
        <v>6.18</v>
      </c>
      <c r="AD11" s="1618">
        <f t="shared" si="3"/>
        <v>6.18</v>
      </c>
      <c r="AE11" s="1618">
        <f t="shared" si="3"/>
        <v>6.18</v>
      </c>
      <c r="AF11" s="1618">
        <f t="shared" si="3"/>
        <v>6.18</v>
      </c>
      <c r="AG11" s="1618">
        <f t="shared" si="3"/>
        <v>6.18</v>
      </c>
      <c r="AH11" s="1618">
        <f t="shared" si="3"/>
        <v>6.18</v>
      </c>
      <c r="AI11" s="1618">
        <f t="shared" si="3"/>
        <v>6.18</v>
      </c>
      <c r="AJ11" s="1618">
        <f t="shared" si="3"/>
        <v>6.18</v>
      </c>
    </row>
    <row r="12" spans="1:36" ht="25.5" thickBot="1">
      <c r="A12" s="3356"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51"/>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58"/>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t="e">
        <f t="shared" si="0"/>
        <v>#DIV/0!</v>
      </c>
      <c r="U13" s="1606"/>
      <c r="V13" s="1605" t="e">
        <f t="shared" si="1"/>
        <v>#DIV/0!</v>
      </c>
      <c r="W13" s="3351"/>
      <c r="X13" s="1619"/>
      <c r="Y13" s="1616">
        <f>(-0.163*(Y12^2)-0.59*Y12+7617)*(10^(-4))/Y11</f>
        <v>0.12325242718446604</v>
      </c>
      <c r="Z13" s="1616">
        <f t="shared" ref="Z13:AJ13" si="5">(-0.163*(Z12^2)-0.59*Z12+7617)*(10^(-4))/Z11</f>
        <v>0.12325242718446604</v>
      </c>
      <c r="AA13" s="1616">
        <f t="shared" si="5"/>
        <v>0.12325242718446604</v>
      </c>
      <c r="AB13" s="1616">
        <f t="shared" si="5"/>
        <v>0.12325242718446604</v>
      </c>
      <c r="AC13" s="1616">
        <f t="shared" si="5"/>
        <v>0.12325242718446604</v>
      </c>
      <c r="AD13" s="1616">
        <f t="shared" si="5"/>
        <v>0.12325242718446604</v>
      </c>
      <c r="AE13" s="1616">
        <f t="shared" si="5"/>
        <v>0.12325242718446604</v>
      </c>
      <c r="AF13" s="1616">
        <f t="shared" si="5"/>
        <v>0.12325242718446604</v>
      </c>
      <c r="AG13" s="1616">
        <f t="shared" si="5"/>
        <v>0.12325242718446604</v>
      </c>
      <c r="AH13" s="1616">
        <f t="shared" si="5"/>
        <v>0.12325242718446604</v>
      </c>
      <c r="AI13" s="1616">
        <f t="shared" si="5"/>
        <v>0.12325242718446604</v>
      </c>
      <c r="AJ13" s="1616">
        <f t="shared" si="5"/>
        <v>0.12325242718446604</v>
      </c>
    </row>
    <row r="14" spans="1:36" ht="15">
      <c r="A14" s="3358"/>
      <c r="B14" s="2773"/>
      <c r="C14" s="2774"/>
      <c r="D14" s="2775"/>
      <c r="E14" s="2775"/>
      <c r="F14" s="2776"/>
      <c r="G14" s="2777" t="s">
        <v>2877</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59"/>
      <c r="B15" s="2781" t="s">
        <v>2878</v>
      </c>
      <c r="C15" s="229">
        <f>IF(C14="有",1.1,1)</f>
        <v>1</v>
      </c>
      <c r="D15" s="229">
        <f>IF(D14="有",1.1,1)</f>
        <v>1</v>
      </c>
      <c r="E15" s="229">
        <f>IF(E14="有",1.1,1)</f>
        <v>1</v>
      </c>
      <c r="F15" s="229">
        <f>IF(F14="500米范围内",1.2,IF(F14="500-1000米",1.1,1))</f>
        <v>1</v>
      </c>
      <c r="G15" s="949">
        <v>1</v>
      </c>
      <c r="H15" s="949">
        <v>1</v>
      </c>
      <c r="I15" s="949">
        <v>1</v>
      </c>
      <c r="J15" s="950">
        <v>1</v>
      </c>
      <c r="K15" s="1373"/>
      <c r="L15" s="2782" t="s">
        <v>2814</v>
      </c>
      <c r="M15" s="920" t="s">
        <v>2879</v>
      </c>
      <c r="N15" s="920" t="s">
        <v>2880</v>
      </c>
      <c r="O15" s="920" t="s">
        <v>2881</v>
      </c>
      <c r="P15" s="2783" t="s">
        <v>2882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56" t="s">
        <v>2883</v>
      </c>
      <c r="B16" s="2750" t="s">
        <v>2884</v>
      </c>
      <c r="C16" s="1804" t="e">
        <f>ROUND(SUM(G17:J17)/C17,0)</f>
        <v>#DIV/0!</v>
      </c>
      <c r="D16" s="2784" t="s">
        <v>2885</v>
      </c>
      <c r="E16" s="2785"/>
      <c r="F16" s="2786"/>
      <c r="G16" s="2787"/>
      <c r="H16" s="2787"/>
      <c r="I16" s="2787"/>
      <c r="J16" s="2788"/>
      <c r="K16" s="1373"/>
      <c r="L16" s="2789" t="s">
        <v>2886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57"/>
      <c r="B17" s="2790" t="s">
        <v>2887</v>
      </c>
      <c r="C17" s="924">
        <f>SUMPRODUCT((修正!A2:A5=E2)*(修正!B1:M1=G2)*(修正!B2:M5))</f>
        <v>0</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2892</v>
      </c>
      <c r="C19" s="927" t="e">
        <f>ROUND(IF(H19="按公示增长率计算",SUMPRODUCT((地价!A3:A25=YEAR(G19)&amp;"-"&amp;ROUNDUP(MONTH(G19)/3,0))*(地价!X2:AB2=E2)*(地价!X3:AB25)),IF(H19="地价指数",M20/M19,(1+I19)^O19)),4)</f>
        <v>#DIV/0!</v>
      </c>
      <c r="D19" s="2802" t="s">
        <v>2893</v>
      </c>
      <c r="E19" s="928">
        <v>41640</v>
      </c>
      <c r="F19" s="2802" t="s">
        <v>2894</v>
      </c>
      <c r="G19" s="929">
        <f>'数据-取费表'!B2</f>
        <v>43532</v>
      </c>
      <c r="H19" s="2803" t="s">
        <v>2895</v>
      </c>
      <c r="I19" s="930" t="str">
        <f>IF(H19="季度增幅（自定义）",SUMIF(N21:N24,E2,O21:O24),"")</f>
        <v/>
      </c>
      <c r="J19" s="2800"/>
      <c r="K19" s="1380"/>
      <c r="L19" s="2804" t="s">
        <v>2896</v>
      </c>
      <c r="M19" s="1737">
        <f>ROUND(SUMIF(地价!B2:F2,E2,地价!B25:F25),0)</f>
        <v>0</v>
      </c>
      <c r="N19" s="2805" t="s">
        <v>2897</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2898</v>
      </c>
      <c r="C20" s="932" t="e">
        <f>ROUND(POWER(1+G20,J20-I20)*(POWER(1+G20,I20)-1)/(POWER(1+G20,J20)-1),4)</f>
        <v>#DIV/0!</v>
      </c>
      <c r="D20" s="2811" t="s">
        <v>2899</v>
      </c>
      <c r="E20" s="1771">
        <f ca="1">存贷款利率!D4/100</f>
        <v>4.3499999999999997E-2</v>
      </c>
      <c r="F20" s="2811" t="s">
        <v>2890</v>
      </c>
      <c r="G20" s="937">
        <f>SUMIF(M15:P15,E2,M17:P17)</f>
        <v>0</v>
      </c>
      <c r="H20" s="2811" t="s">
        <v>2900</v>
      </c>
      <c r="I20" s="938" t="e">
        <f>SUMIF('数据-取费表'!C6:C15,E2,'数据-取费表'!F6:F15)/COUNTIF('数据-取费表'!C6:C15,E2)</f>
        <v>#DIV/0!</v>
      </c>
      <c r="J20" s="939">
        <f>IF(E2="住宅",70,IF(E2="商业",40,50))</f>
        <v>50</v>
      </c>
      <c r="K20" s="1380"/>
      <c r="L20" s="2812" t="s">
        <v>2901</v>
      </c>
      <c r="M20" s="1738">
        <f>ROUND(SUMPRODUCT((地价!A4:A25=YEAR(G19)&amp;"-"&amp;ROUNDUP(MONTH(G19)/3,0))*(地价!B2:F2=E2)*(地价!B4:F25)),0)</f>
        <v>0</v>
      </c>
      <c r="N20" s="2813" t="s">
        <v>2902</v>
      </c>
      <c r="O20" s="2814" t="s">
        <v>2903</v>
      </c>
      <c r="P20" s="2815" t="s">
        <v>2904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2905</v>
      </c>
      <c r="C21" s="940">
        <f>IF(B21="容积率修正",IF(G3&lt;=10,D22,J22),C23)</f>
        <v>0</v>
      </c>
      <c r="D21" s="2818"/>
      <c r="E21" s="2818"/>
      <c r="F21" s="2818"/>
      <c r="G21" s="2818"/>
      <c r="H21" s="2818"/>
      <c r="I21" s="2818"/>
      <c r="J21" s="2819"/>
      <c r="K21" s="1380"/>
      <c r="N21" s="2820" t="s">
        <v>2906</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3" customFormat="1" ht="14.25">
      <c r="A22" s="2670" t="s">
        <v>2907</v>
      </c>
      <c r="B22" s="2821" t="s">
        <v>2908</v>
      </c>
      <c r="C22" s="1813" t="s">
        <v>2909</v>
      </c>
      <c r="D22" s="1813">
        <f>IF(E22=G22,F22,IF(G3&lt;=10,ROUND(F22+(H22-F22)*(G3-E22)/(G22-E22),4),"——"))</f>
        <v>0</v>
      </c>
      <c r="E22" s="916">
        <f>ROUNDDOWN(G3,1)</f>
        <v>6.1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6.1999999999999993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2910</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2911</v>
      </c>
      <c r="B23" s="2822" t="s">
        <v>2912</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2913</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2914</v>
      </c>
      <c r="C24" s="927">
        <f>SUMIF(A45:A88,E2,B45:B88)</f>
        <v>0</v>
      </c>
      <c r="D24" s="2798"/>
      <c r="E24" s="2828"/>
      <c r="F24" s="2828"/>
      <c r="G24" s="2828"/>
      <c r="H24" s="2828"/>
      <c r="I24" s="2828"/>
      <c r="J24" s="2829"/>
      <c r="K24" s="1380"/>
      <c r="N24" s="2830" t="s">
        <v>2915</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2916</v>
      </c>
      <c r="C25" s="933"/>
      <c r="D25" s="2753"/>
      <c r="E25" s="2753"/>
      <c r="F25" s="2832"/>
      <c r="G25" s="2753"/>
      <c r="H25" s="2753"/>
      <c r="I25" s="2753"/>
      <c r="J25" s="2754"/>
      <c r="K25" s="1373"/>
      <c r="N25" s="2833" t="s">
        <v>2917</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4"/>
      <c r="B26" s="2821" t="s">
        <v>2918</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2919</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2920</v>
      </c>
      <c r="C28" s="2845" t="s">
        <v>2921</v>
      </c>
      <c r="D28" s="2845" t="s">
        <v>2922</v>
      </c>
      <c r="E28" s="2846" t="s">
        <v>2923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2924</v>
      </c>
      <c r="C29" s="206" t="e">
        <f>ROUND(C5*C18*C19*C20*C21*C24,0)</f>
        <v>#DIV/0!</v>
      </c>
      <c r="D29" s="2850"/>
      <c r="E29" s="945" t="e">
        <f>ROUND(C29*D29/10000,0)</f>
        <v>#DIV/0!</v>
      </c>
      <c r="F29" s="2851" t="s">
        <v>2925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2926</v>
      </c>
      <c r="C30" s="229" t="e">
        <f>ROUND(IF(E2="工业",C29*M39,C29*M38),0)</f>
        <v>#DIV/0!</v>
      </c>
      <c r="D30" s="2856"/>
      <c r="E30" s="945" t="e">
        <f>ROUND(C30*D30/10000,0)</f>
        <v>#DIV/0!</v>
      </c>
      <c r="F30" s="2857" t="s">
        <v>2927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2928</v>
      </c>
      <c r="C31" s="2862" t="s">
        <v>2929</v>
      </c>
      <c r="D31" s="2766"/>
      <c r="E31" s="2862"/>
      <c r="F31" s="2862"/>
      <c r="G31" s="2764" t="s">
        <v>2930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2921</v>
      </c>
      <c r="D32" s="498" t="s">
        <v>2922</v>
      </c>
      <c r="E32" s="498" t="s">
        <v>2923</v>
      </c>
      <c r="F32" s="388" t="s">
        <v>2931</v>
      </c>
      <c r="G32" s="2865" t="s">
        <v>2921</v>
      </c>
      <c r="H32" s="2865" t="s">
        <v>2922</v>
      </c>
      <c r="I32" s="2865"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66" t="s">
        <v>2932</v>
      </c>
      <c r="B33" s="2866" t="s">
        <v>2933</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67"/>
      <c r="B34" s="2770" t="s">
        <v>2934</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67"/>
      <c r="B35" s="2770" t="s">
        <v>2935</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68"/>
      <c r="B36" s="2770" t="s">
        <v>2936</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2937</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2938</v>
      </c>
      <c r="M37" s="2870"/>
      <c r="N37" s="1373"/>
      <c r="O37" s="1373"/>
      <c r="P37" s="1373"/>
      <c r="Q37" s="1373"/>
      <c r="R37" s="1373"/>
      <c r="S37" s="1373"/>
      <c r="T37" s="1373"/>
      <c r="U37" s="1373"/>
      <c r="V37" s="1373"/>
      <c r="W37" s="1373"/>
      <c r="X37" s="1373"/>
      <c r="Y37" s="1373"/>
      <c r="Z37" s="1374"/>
    </row>
    <row r="38" spans="1:37">
      <c r="A38" s="2868"/>
      <c r="B38" s="2770" t="s">
        <v>2939</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2940</v>
      </c>
      <c r="M38" s="2871">
        <v>0.25</v>
      </c>
      <c r="N38" s="1373"/>
      <c r="O38" s="1373"/>
      <c r="P38" s="1373"/>
      <c r="Q38" s="1373"/>
      <c r="R38" s="1373"/>
      <c r="S38" s="1373"/>
      <c r="T38" s="1373"/>
      <c r="U38" s="1373"/>
      <c r="V38" s="1373"/>
      <c r="W38" s="1373"/>
      <c r="X38" s="1373"/>
      <c r="Y38" s="1373"/>
      <c r="Z38" s="1374"/>
    </row>
    <row r="39" spans="1:37" ht="13.5" thickBot="1">
      <c r="A39" s="2854"/>
      <c r="B39" s="2872" t="s">
        <v>2941</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3048</v>
      </c>
      <c r="C41" s="388" t="e">
        <f>ROUND(POWER(1+E41,H41-G41)*(POWER(1+E41,G41)-1)/(POWER(1+E41,H41)-1),4)</f>
        <v>#DIV/0!</v>
      </c>
      <c r="D41" s="200" t="s">
        <v>2890</v>
      </c>
      <c r="E41" s="2942">
        <f>G20</f>
        <v>0</v>
      </c>
      <c r="F41" s="200" t="s">
        <v>2900</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2943</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2944</v>
      </c>
      <c r="B47" s="1812" t="s">
        <v>2945</v>
      </c>
      <c r="C47" s="1812" t="s">
        <v>2946</v>
      </c>
      <c r="D47" s="1812" t="s">
        <v>2947</v>
      </c>
      <c r="E47" s="819" t="s">
        <v>2948</v>
      </c>
      <c r="F47" s="2884" t="s">
        <v>2949</v>
      </c>
      <c r="G47" s="1812" t="s">
        <v>754</v>
      </c>
      <c r="H47" s="2885" t="s">
        <v>2950</v>
      </c>
      <c r="I47" s="1812" t="s">
        <v>2951</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2952</v>
      </c>
      <c r="B48" s="2886" t="str">
        <f>估价对象房地状况!C4</f>
        <v>估价对象位于XX商圈，周边商业氛围成熟，人流量大，商业繁华度好</v>
      </c>
      <c r="C48" s="2775"/>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2953</v>
      </c>
      <c r="B49" s="2887" t="str">
        <f>估价对象房地状况!C18</f>
        <v>估价对象周边道路状况、公共交通通达情况、停车便捷程度，综合评价交通便捷度较好</v>
      </c>
      <c r="C49" s="2775"/>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2954</v>
      </c>
      <c r="B50" s="2887">
        <f>估价对象房地状况!C19</f>
        <v>0</v>
      </c>
      <c r="C50" s="2775"/>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2955</v>
      </c>
      <c r="B51" s="2888" t="s">
        <v>2956</v>
      </c>
      <c r="C51" s="2775"/>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2957</v>
      </c>
      <c r="B52" s="2887">
        <f>估价对象房地状况!C24</f>
        <v>0</v>
      </c>
      <c r="C52" s="2775"/>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2958</v>
      </c>
      <c r="B53" s="2889" t="s">
        <v>2959</v>
      </c>
      <c r="C53" s="2775"/>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2960</v>
      </c>
      <c r="B54" s="1728" t="str">
        <f>估价对象房地状况!C21</f>
        <v>估价对象所在区域公共配套设施齐备情况</v>
      </c>
      <c r="C54" s="2775"/>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2961</v>
      </c>
      <c r="B55" s="2887" t="str">
        <f>估价对象房地状况!C22</f>
        <v>估价对象所在区域基础设施水平</v>
      </c>
      <c r="C55" s="2775"/>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2962</v>
      </c>
      <c r="B56" s="2892" t="str">
        <f>估价对象房地状况!C20</f>
        <v>区域自然环境：；人文环境；综合评价环境状况一般</v>
      </c>
      <c r="C56" s="2775"/>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2944</v>
      </c>
      <c r="B58" s="1812"/>
      <c r="C58" s="1812" t="s">
        <v>2946</v>
      </c>
      <c r="D58" s="1812" t="s">
        <v>2947</v>
      </c>
      <c r="E58" s="819" t="s">
        <v>2948</v>
      </c>
      <c r="F58" s="2884" t="s">
        <v>2964</v>
      </c>
      <c r="G58" s="1812" t="s">
        <v>754</v>
      </c>
      <c r="H58" s="2885" t="s">
        <v>2950</v>
      </c>
      <c r="I58" s="1812" t="s">
        <v>2951</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2965</v>
      </c>
      <c r="B59" s="2886" t="str">
        <f>估价对象房地状况!C17</f>
        <v>估价对象位于XX商圈，周边办公楼项目较多，入驻率高，办公集聚程度较好</v>
      </c>
      <c r="C59" s="2775"/>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2953</v>
      </c>
      <c r="B60" s="2887" t="str">
        <f>估价对象房地状况!C18</f>
        <v>估价对象周边道路状况、公共交通通达情况、停车便捷程度，综合评价交通便捷度较好</v>
      </c>
      <c r="C60" s="2775"/>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2954</v>
      </c>
      <c r="B61" s="2887">
        <f>估价对象房地状况!C19</f>
        <v>0</v>
      </c>
      <c r="C61" s="2775"/>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2955</v>
      </c>
      <c r="B62" s="2888" t="s">
        <v>2956</v>
      </c>
      <c r="C62" s="2775"/>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2957</v>
      </c>
      <c r="B63" s="2887">
        <f>估价对象房地状况!C24</f>
        <v>0</v>
      </c>
      <c r="C63" s="2775"/>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2958</v>
      </c>
      <c r="B64" s="2889" t="s">
        <v>2959</v>
      </c>
      <c r="C64" s="2775"/>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2960</v>
      </c>
      <c r="B65" s="1728" t="str">
        <f>估价对象房地状况!C21</f>
        <v>估价对象所在区域公共配套设施齐备情况</v>
      </c>
      <c r="C65" s="2775"/>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2961</v>
      </c>
      <c r="B66" s="1728" t="str">
        <f>估价对象房地状况!C22</f>
        <v>估价对象所在区域基础设施水平</v>
      </c>
      <c r="C66" s="2775"/>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2962</v>
      </c>
      <c r="B67" s="2893" t="str">
        <f>估价对象房地状况!C20</f>
        <v>区域自然环境：；人文环境；综合评价环境状况一般</v>
      </c>
      <c r="C67" s="2775"/>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2944</v>
      </c>
      <c r="B69" s="1812"/>
      <c r="C69" s="1812" t="s">
        <v>2946</v>
      </c>
      <c r="D69" s="1812" t="s">
        <v>2947</v>
      </c>
      <c r="E69" s="819" t="s">
        <v>2948</v>
      </c>
      <c r="F69" s="2884" t="s">
        <v>2964</v>
      </c>
      <c r="G69" s="1812" t="s">
        <v>754</v>
      </c>
      <c r="H69" s="2885" t="s">
        <v>2950</v>
      </c>
      <c r="I69" s="1812" t="s">
        <v>2951</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2967</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2953</v>
      </c>
      <c r="B71" s="2887" t="str">
        <f>估价对象房地状况!C18</f>
        <v>估价对象周边道路状况、公共交通通达情况、停车便捷程度，综合评价交通便捷度较好</v>
      </c>
      <c r="C71" s="2775"/>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2954</v>
      </c>
      <c r="B72" s="2887">
        <f>估价对象房地状况!C19</f>
        <v>0</v>
      </c>
      <c r="C72" s="2775"/>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2968</v>
      </c>
      <c r="B73" s="2887">
        <f>估价对象房地状况!C24</f>
        <v>0</v>
      </c>
      <c r="C73" s="2775"/>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2960</v>
      </c>
      <c r="B74" s="1728" t="str">
        <f>估价对象房地状况!C21</f>
        <v>估价对象所在区域公共配套设施齐备情况</v>
      </c>
      <c r="C74" s="2775"/>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2961</v>
      </c>
      <c r="B75" s="1728" t="str">
        <f>估价对象房地状况!C22</f>
        <v>估价对象所在区域基础设施水平</v>
      </c>
      <c r="C75" s="2775"/>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2958</v>
      </c>
      <c r="B76" s="2889" t="s">
        <v>2959</v>
      </c>
      <c r="C76" s="2775"/>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2962</v>
      </c>
      <c r="B77" s="2886" t="str">
        <f>估价对象房地状况!C20</f>
        <v>区域自然环境：；人文环境；综合评价环境状况一般</v>
      </c>
      <c r="C77" s="2775"/>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2969</v>
      </c>
      <c r="B78" s="2895"/>
      <c r="C78" s="2775"/>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2970</v>
      </c>
      <c r="B79" s="2880">
        <f>1+E81</f>
        <v>1</v>
      </c>
      <c r="C79" s="814"/>
      <c r="D79" s="814"/>
      <c r="E79" s="815"/>
      <c r="F79" s="2882"/>
      <c r="G79" s="6"/>
      <c r="H79" s="6"/>
      <c r="I79" s="6"/>
      <c r="J79" s="7"/>
      <c r="K79" s="7"/>
      <c r="L79" s="7"/>
      <c r="M79" s="7"/>
      <c r="N79" s="7"/>
      <c r="Z79" s="2725"/>
      <c r="AA79" s="2801"/>
      <c r="AG79" s="1375"/>
      <c r="AK79" s="2801"/>
    </row>
    <row r="80" spans="1:37" ht="24.75">
      <c r="A80" s="2883" t="s">
        <v>2944</v>
      </c>
      <c r="B80" s="1812"/>
      <c r="C80" s="1812" t="s">
        <v>2946</v>
      </c>
      <c r="D80" s="1812" t="s">
        <v>2947</v>
      </c>
      <c r="E80" s="819" t="s">
        <v>2948</v>
      </c>
      <c r="F80" s="2884" t="s">
        <v>2964</v>
      </c>
      <c r="G80" s="1812" t="s">
        <v>754</v>
      </c>
      <c r="H80" s="2885" t="s">
        <v>2950</v>
      </c>
      <c r="I80" s="1812" t="s">
        <v>2951</v>
      </c>
      <c r="J80" s="603" t="s">
        <v>2598</v>
      </c>
      <c r="K80" s="603" t="s">
        <v>2599</v>
      </c>
      <c r="L80" s="603" t="s">
        <v>2600</v>
      </c>
      <c r="M80" s="603" t="s">
        <v>2601</v>
      </c>
      <c r="N80" s="603" t="s">
        <v>2602</v>
      </c>
      <c r="Z80" s="2725"/>
      <c r="AA80" s="2801"/>
      <c r="AG80" s="1375"/>
      <c r="AK80" s="2801"/>
    </row>
    <row r="81" spans="1:37" ht="38.25">
      <c r="A81" s="2883" t="s">
        <v>2971</v>
      </c>
      <c r="B81" s="2887" t="str">
        <f>估价对象房地状况!G15</f>
        <v>估价对象位于XX开发区，园区建设成熟度XX，产业集聚程度XX</v>
      </c>
      <c r="C81" s="2775"/>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2953</v>
      </c>
      <c r="B82" s="2887" t="str">
        <f>估价对象房地状况!G16</f>
        <v>估价对象周边道路状况、公共交通通达情况、停车便捷程度，综合评价交通便捷度较好</v>
      </c>
      <c r="C82" s="2775"/>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2954</v>
      </c>
      <c r="B83" s="2887">
        <f>估价对象房地状况!G17</f>
        <v>0</v>
      </c>
      <c r="C83" s="2775"/>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2968</v>
      </c>
      <c r="B84" s="2887">
        <f>估价对象房地状况!G22</f>
        <v>0</v>
      </c>
      <c r="C84" s="2775"/>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2960</v>
      </c>
      <c r="B85" s="1728" t="str">
        <f>估价对象房地状况!G19</f>
        <v>估价对象所在区域公共配套设施齐备情况</v>
      </c>
      <c r="C85" s="2775"/>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2961</v>
      </c>
      <c r="B86" s="1728" t="str">
        <f>估价对象房地状况!G20</f>
        <v>估价对象所在区域基础设施水平</v>
      </c>
      <c r="C86" s="2775"/>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2958</v>
      </c>
      <c r="B87" s="2889" t="s">
        <v>2972</v>
      </c>
      <c r="C87" s="2775"/>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2973</v>
      </c>
      <c r="B88" s="2896" t="str">
        <f>估价对象房地状况!G18</f>
        <v>该园区内是否有污染型企业，绿化情况，卫生条件，整体环境状况判断</v>
      </c>
      <c r="C88" s="2775"/>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60" t="s">
        <v>2974</v>
      </c>
      <c r="B90" s="3360"/>
      <c r="C90" s="3360"/>
      <c r="D90" s="3360"/>
      <c r="E90" s="3360"/>
      <c r="F90" s="3360"/>
      <c r="G90" s="3360"/>
      <c r="H90" s="3360"/>
      <c r="I90" s="3360"/>
      <c r="J90" s="3360"/>
      <c r="K90" s="2897"/>
      <c r="L90" s="2897"/>
      <c r="M90" s="2897"/>
      <c r="N90" s="2897"/>
    </row>
    <row r="91" spans="1:37">
      <c r="A91" s="3362" t="s">
        <v>2975</v>
      </c>
      <c r="B91" s="3362" t="s">
        <v>2976</v>
      </c>
      <c r="C91" s="2851" t="s">
        <v>2977</v>
      </c>
      <c r="D91" s="2852"/>
      <c r="E91" s="2852"/>
      <c r="F91" s="2852"/>
      <c r="G91" s="2852"/>
      <c r="H91" s="2852"/>
      <c r="I91" s="2852"/>
      <c r="J91" s="2898"/>
      <c r="K91" s="2899"/>
      <c r="L91" s="2899"/>
      <c r="M91" s="2899"/>
      <c r="N91" s="2899"/>
    </row>
    <row r="92" spans="1:37">
      <c r="A92" s="3362"/>
      <c r="B92" s="3362"/>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363" t="s">
        <v>2978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6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6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6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6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6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64"/>
      <c r="B99" s="2900" t="s">
        <v>2857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6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63" t="s">
        <v>2979</v>
      </c>
      <c r="B101" s="2904" t="s">
        <v>2980</v>
      </c>
      <c r="C101" s="2905">
        <f>$G$3</f>
        <v>6.18</v>
      </c>
      <c r="D101" s="2905">
        <f t="shared" ref="D101:N101" si="31">$G$3</f>
        <v>6.18</v>
      </c>
      <c r="E101" s="2905">
        <f t="shared" si="31"/>
        <v>6.18</v>
      </c>
      <c r="F101" s="2905">
        <f t="shared" si="31"/>
        <v>6.18</v>
      </c>
      <c r="G101" s="2905">
        <f t="shared" si="31"/>
        <v>6.18</v>
      </c>
      <c r="H101" s="2905">
        <f t="shared" si="31"/>
        <v>6.18</v>
      </c>
      <c r="I101" s="2905">
        <f t="shared" si="31"/>
        <v>6.18</v>
      </c>
      <c r="J101" s="2905">
        <f t="shared" si="31"/>
        <v>6.18</v>
      </c>
      <c r="K101" s="2905">
        <f t="shared" si="31"/>
        <v>6.18</v>
      </c>
      <c r="L101" s="2905">
        <f t="shared" si="31"/>
        <v>6.18</v>
      </c>
      <c r="M101" s="2905">
        <f t="shared" si="31"/>
        <v>6.18</v>
      </c>
      <c r="N101" s="2905">
        <f t="shared" si="31"/>
        <v>6.18</v>
      </c>
    </row>
    <row r="102" spans="1:14">
      <c r="A102" s="3364"/>
      <c r="B102" s="2900">
        <v>1</v>
      </c>
      <c r="C102" s="2901">
        <f>1.9362/C101</f>
        <v>0.31330097087378639</v>
      </c>
      <c r="D102" s="2901">
        <f>1.9362/D101</f>
        <v>0.31330097087378639</v>
      </c>
      <c r="E102" s="2901">
        <f>1.8629/E101</f>
        <v>0.30144012944983822</v>
      </c>
      <c r="F102" s="2901">
        <f>1.8629/F101</f>
        <v>0.30144012944983822</v>
      </c>
      <c r="G102" s="2901">
        <f>1.8629/G101</f>
        <v>0.30144012944983822</v>
      </c>
      <c r="H102" s="2901">
        <f>1.8629/H101</f>
        <v>0.30144012944983822</v>
      </c>
      <c r="I102" s="2901">
        <f>1.8629/I101</f>
        <v>0.30144012944983822</v>
      </c>
      <c r="J102" s="2901">
        <f>1.942/J101</f>
        <v>0.31423948220064724</v>
      </c>
      <c r="K102" s="2901">
        <f>1.942/K101</f>
        <v>0.31423948220064724</v>
      </c>
      <c r="L102" s="2901">
        <f>1.942/L101</f>
        <v>0.31423948220064724</v>
      </c>
      <c r="M102" s="2901">
        <f>1.942/M101</f>
        <v>0.31423948220064724</v>
      </c>
      <c r="N102" s="2901">
        <f>1.942/N101</f>
        <v>0.31423948220064724</v>
      </c>
    </row>
    <row r="103" spans="1:14">
      <c r="A103" s="3364"/>
      <c r="B103" s="2900">
        <v>2</v>
      </c>
      <c r="C103" s="2901">
        <f>1.4198/C101</f>
        <v>0.2297411003236246</v>
      </c>
      <c r="D103" s="2901">
        <f>1.4198/D101</f>
        <v>0.2297411003236246</v>
      </c>
      <c r="E103" s="2901">
        <f>1.3372/E101</f>
        <v>0.21637540453074433</v>
      </c>
      <c r="F103" s="2901">
        <f>1.3372/F101</f>
        <v>0.21637540453074433</v>
      </c>
      <c r="G103" s="2901">
        <f>1.3372/G101</f>
        <v>0.21637540453074433</v>
      </c>
      <c r="H103" s="2901">
        <f>1.3372/H101</f>
        <v>0.21637540453074433</v>
      </c>
      <c r="I103" s="2901">
        <f>1.3372/I101</f>
        <v>0.21637540453074433</v>
      </c>
      <c r="J103" s="2901">
        <f>1.2799/J101</f>
        <v>0.20710355987055018</v>
      </c>
      <c r="K103" s="2901">
        <f>1.2799/K101</f>
        <v>0.20710355987055018</v>
      </c>
      <c r="L103" s="2901">
        <f>1.2799/L101</f>
        <v>0.20710355987055018</v>
      </c>
      <c r="M103" s="2901">
        <f>1.2799/M101</f>
        <v>0.20710355987055018</v>
      </c>
      <c r="N103" s="2901">
        <f>1.2799/N101</f>
        <v>0.20710355987055018</v>
      </c>
    </row>
    <row r="104" spans="1:14">
      <c r="A104" s="3364"/>
      <c r="B104" s="2900">
        <v>3</v>
      </c>
      <c r="C104" s="2901">
        <f>1.1594/C101</f>
        <v>0.18760517799352752</v>
      </c>
      <c r="D104" s="2901">
        <f>1.1594/D101</f>
        <v>0.18760517799352752</v>
      </c>
      <c r="E104" s="2901">
        <f>1.0788/E101</f>
        <v>0.1745631067961165</v>
      </c>
      <c r="F104" s="2901">
        <f>1.0788/F101</f>
        <v>0.1745631067961165</v>
      </c>
      <c r="G104" s="2901">
        <f>1.0788/G101</f>
        <v>0.1745631067961165</v>
      </c>
      <c r="H104" s="2901">
        <f>1.0788/H101</f>
        <v>0.1745631067961165</v>
      </c>
      <c r="I104" s="2901">
        <f>1.0788/I101</f>
        <v>0.1745631067961165</v>
      </c>
      <c r="J104" s="2901">
        <f>1.0072/J101</f>
        <v>0.16297734627831717</v>
      </c>
      <c r="K104" s="2901">
        <f>1.0072/K101</f>
        <v>0.16297734627831717</v>
      </c>
      <c r="L104" s="2901">
        <f>1.0072/L101</f>
        <v>0.16297734627831717</v>
      </c>
      <c r="M104" s="2901">
        <f>1.0072/M101</f>
        <v>0.16297734627831717</v>
      </c>
      <c r="N104" s="2901">
        <f>1.0072/N101</f>
        <v>0.16297734627831717</v>
      </c>
    </row>
    <row r="105" spans="1:14">
      <c r="A105" s="3364"/>
      <c r="B105" s="2900">
        <v>4</v>
      </c>
      <c r="C105" s="2901">
        <f>0.9622/C101</f>
        <v>0.15569579288025892</v>
      </c>
      <c r="D105" s="2901">
        <f>0.9622/D101</f>
        <v>0.15569579288025892</v>
      </c>
      <c r="E105" s="2901">
        <f>0.8656/E101</f>
        <v>0.14006472491909386</v>
      </c>
      <c r="F105" s="2901">
        <f>0.8656/F101</f>
        <v>0.14006472491909386</v>
      </c>
      <c r="G105" s="2901">
        <f>0.8656/G101</f>
        <v>0.14006472491909386</v>
      </c>
      <c r="H105" s="2901">
        <f>0.8656/H101</f>
        <v>0.14006472491909386</v>
      </c>
      <c r="I105" s="2901">
        <f>0.8656/I101</f>
        <v>0.14006472491909386</v>
      </c>
      <c r="J105" s="2901">
        <f>0.7525/J101</f>
        <v>0.12176375404530744</v>
      </c>
      <c r="K105" s="2901">
        <f>0.7525/K101</f>
        <v>0.12176375404530744</v>
      </c>
      <c r="L105" s="2901">
        <f>0.7525/L101</f>
        <v>0.12176375404530744</v>
      </c>
      <c r="M105" s="2901">
        <f>0.7525/M101</f>
        <v>0.12176375404530744</v>
      </c>
      <c r="N105" s="2901">
        <f>0.7525/N101</f>
        <v>0.12176375404530744</v>
      </c>
    </row>
    <row r="106" spans="1:14">
      <c r="A106" s="3364"/>
      <c r="B106" s="2900">
        <v>5</v>
      </c>
      <c r="C106" s="2901">
        <f>0.8417/C101</f>
        <v>0.13619741100323626</v>
      </c>
      <c r="D106" s="2901">
        <f>0.8417/D101</f>
        <v>0.13619741100323626</v>
      </c>
      <c r="E106" s="2901">
        <f>0.7371/E101</f>
        <v>0.11927184466019418</v>
      </c>
      <c r="F106" s="2901">
        <f>0.7371/F101</f>
        <v>0.11927184466019418</v>
      </c>
      <c r="G106" s="2901">
        <f>0.7371/G101</f>
        <v>0.11927184466019418</v>
      </c>
      <c r="H106" s="2901">
        <f>0.7371/H101</f>
        <v>0.11927184466019418</v>
      </c>
      <c r="I106" s="2901">
        <f>0.7371/I101</f>
        <v>0.11927184466019418</v>
      </c>
      <c r="J106" s="2901">
        <f>0.5659/J101</f>
        <v>9.1569579288025893E-2</v>
      </c>
      <c r="K106" s="2901">
        <f>0.5659/K101</f>
        <v>9.1569579288025893E-2</v>
      </c>
      <c r="L106" s="2901">
        <f>0.5659/L101</f>
        <v>9.1569579288025893E-2</v>
      </c>
      <c r="M106" s="2901">
        <f>0.5659/M101</f>
        <v>9.1569579288025893E-2</v>
      </c>
      <c r="N106" s="2901">
        <f>0.5659/N101</f>
        <v>9.1569579288025893E-2</v>
      </c>
    </row>
    <row r="107" spans="1:14">
      <c r="A107" s="3364"/>
      <c r="B107" s="2900">
        <v>6</v>
      </c>
      <c r="C107" s="2901">
        <f>0.7608/C101</f>
        <v>0.12310679611650487</v>
      </c>
      <c r="D107" s="2901">
        <f>0.7608/D101</f>
        <v>0.12310679611650487</v>
      </c>
      <c r="E107" s="2901">
        <f>0.6482/E101</f>
        <v>0.10488673139158576</v>
      </c>
      <c r="F107" s="2901">
        <f>0.6482/F101</f>
        <v>0.10488673139158576</v>
      </c>
      <c r="G107" s="2901">
        <f>0.6482/G101</f>
        <v>0.10488673139158576</v>
      </c>
      <c r="H107" s="2901">
        <f>0.6482/H101</f>
        <v>0.10488673139158576</v>
      </c>
      <c r="I107" s="2901">
        <f>0.6482/I101</f>
        <v>0.10488673139158576</v>
      </c>
      <c r="J107" s="2901">
        <f>0.4525/J101</f>
        <v>7.3220064724919098E-2</v>
      </c>
      <c r="K107" s="2901">
        <f>0.4525/K101</f>
        <v>7.3220064724919098E-2</v>
      </c>
      <c r="L107" s="2901">
        <f>0.4525/L101</f>
        <v>7.3220064724919098E-2</v>
      </c>
      <c r="M107" s="2901">
        <f>0.4525/M101</f>
        <v>7.3220064724919098E-2</v>
      </c>
      <c r="N107" s="2901">
        <f>0.4525/N101</f>
        <v>7.3220064724919098E-2</v>
      </c>
    </row>
    <row r="108" spans="1:14">
      <c r="A108" s="3364"/>
      <c r="B108" s="3216" t="s">
        <v>2981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65"/>
      <c r="B109" s="3217"/>
      <c r="C109" s="2903">
        <f>(-0.163*(C108^2)-0.59*C108+7617)*(10^(-4))/C101</f>
        <v>0.12325242718446604</v>
      </c>
      <c r="D109" s="2903">
        <f>(-0.163*(D108^2)-0.59*D108+7617)*(10^(-4))/D101</f>
        <v>0.12325242718446604</v>
      </c>
      <c r="E109" s="2903">
        <f>(-0.161*(E108^2)-7.509*E108+6533)*(10^(-4))/E101</f>
        <v>0.10571197411003237</v>
      </c>
      <c r="F109" s="2903">
        <f>(-0.161*(F108^2)-7.509*F108+6533)*(10^(-4))/F101</f>
        <v>0.10571197411003237</v>
      </c>
      <c r="G109" s="2903">
        <f>(-0.161*(G108^2)-7.509*G108+6533)*(10^(-4))/G101</f>
        <v>0.10571197411003237</v>
      </c>
      <c r="H109" s="2903">
        <f>(-0.161*(H108^2)-7.509*H108+6533)*(10^(-4))/H101</f>
        <v>0.10571197411003237</v>
      </c>
      <c r="I109" s="2903">
        <f>(-0.161*(I108^2)-7.509*I108+6533)*(10^(-4))/I101</f>
        <v>0.10571197411003237</v>
      </c>
      <c r="J109" s="2903">
        <f>(-0.214*(J108^2)-21.991*J108+4665)*(10^(-4))/J101</f>
        <v>7.5485436893203889E-2</v>
      </c>
      <c r="K109" s="2903">
        <f>(-0.214*(K108^2)-21.991*K108+4665)*(10^(-4))/K101</f>
        <v>7.5485436893203889E-2</v>
      </c>
      <c r="L109" s="2903">
        <f>(-0.214*(L108^2)-21.991*L108+4665)*(10^(-4))/L101</f>
        <v>7.5485436893203889E-2</v>
      </c>
      <c r="M109" s="2903">
        <f>(-0.214*(M108^2)-21.991*M108+4665)*(10^(-4))/M101</f>
        <v>7.5485436893203889E-2</v>
      </c>
      <c r="N109" s="2903">
        <f>(-0.214*(N108^2)-21.991*N108+4665)*(10^(-4))/N101</f>
        <v>7.5485436893203889E-2</v>
      </c>
    </row>
    <row r="110" spans="1:14">
      <c r="A110" s="3361" t="s">
        <v>2982</v>
      </c>
      <c r="B110" s="3361"/>
      <c r="C110" s="3361"/>
      <c r="D110" s="3361"/>
      <c r="E110" s="3361"/>
      <c r="F110" s="3361"/>
      <c r="G110" s="3361"/>
      <c r="H110" s="3361"/>
      <c r="I110" s="3361"/>
      <c r="J110" s="3361"/>
      <c r="K110" s="2906"/>
      <c r="L110" s="2906"/>
      <c r="M110" s="2906"/>
      <c r="N110" s="2906"/>
    </row>
    <row r="112" spans="1:14" ht="13.5" thickBot="1"/>
    <row r="113" spans="1:13" ht="25.5" thickBot="1">
      <c r="A113" s="903" t="s">
        <v>2983</v>
      </c>
      <c r="B113" s="1290">
        <f>G3</f>
        <v>6.18</v>
      </c>
      <c r="C113" s="904" t="s">
        <v>2984</v>
      </c>
      <c r="D113" s="905">
        <f>SUMPRODUCT((A115:A118=F113)*(B114:M114=H113)*B115:M118)</f>
        <v>0</v>
      </c>
      <c r="E113" s="2729" t="s">
        <v>2814</v>
      </c>
      <c r="F113" s="2908">
        <f>E2</f>
        <v>0</v>
      </c>
      <c r="G113" s="2729" t="s">
        <v>2815</v>
      </c>
      <c r="H113" s="2908">
        <f>G2</f>
        <v>0</v>
      </c>
      <c r="I113" s="2729"/>
      <c r="J113" s="2909"/>
      <c r="K113" s="2909"/>
      <c r="L113" s="2909"/>
      <c r="M113" s="2909"/>
    </row>
    <row r="114" spans="1:13">
      <c r="A114" s="908"/>
      <c r="B114" s="2910" t="s">
        <v>2985</v>
      </c>
      <c r="C114" s="2910" t="s">
        <v>2986</v>
      </c>
      <c r="D114" s="2910" t="s">
        <v>2987</v>
      </c>
      <c r="E114" s="2911" t="s">
        <v>2988</v>
      </c>
      <c r="F114" s="2911" t="s">
        <v>2989</v>
      </c>
      <c r="G114" s="2911" t="s">
        <v>2990</v>
      </c>
      <c r="H114" s="2912" t="s">
        <v>2991</v>
      </c>
      <c r="I114" s="2912" t="s">
        <v>2992</v>
      </c>
      <c r="J114" s="2913" t="s">
        <v>2993</v>
      </c>
      <c r="K114" s="2913" t="s">
        <v>2994</v>
      </c>
      <c r="L114" s="2913" t="s">
        <v>2995</v>
      </c>
      <c r="M114" s="2914" t="s">
        <v>2996</v>
      </c>
    </row>
    <row r="115" spans="1:13">
      <c r="A115" s="909" t="s">
        <v>2879</v>
      </c>
      <c r="B115" s="910">
        <f>ROUND(0.9335-0.0094*B113,4)</f>
        <v>0.87539999999999996</v>
      </c>
      <c r="C115" s="910">
        <f>B115</f>
        <v>0.87539999999999996</v>
      </c>
      <c r="D115" s="910">
        <f>ROUND(0.8331-0.0109*B113,4)</f>
        <v>0.76570000000000005</v>
      </c>
      <c r="E115" s="910">
        <f>D115</f>
        <v>0.76570000000000005</v>
      </c>
      <c r="F115" s="910">
        <f>E115</f>
        <v>0.76570000000000005</v>
      </c>
      <c r="G115" s="910">
        <f>F115</f>
        <v>0.76570000000000005</v>
      </c>
      <c r="H115" s="910">
        <f>G115</f>
        <v>0.76570000000000005</v>
      </c>
      <c r="I115" s="910">
        <f>ROUND(0.689-0.0155*B113,4)</f>
        <v>0.59319999999999995</v>
      </c>
      <c r="J115" s="910">
        <f t="shared" ref="J115:M118" si="33">I115</f>
        <v>0.59319999999999995</v>
      </c>
      <c r="K115" s="910">
        <f t="shared" si="33"/>
        <v>0.59319999999999995</v>
      </c>
      <c r="L115" s="910">
        <f t="shared" si="33"/>
        <v>0.59319999999999995</v>
      </c>
      <c r="M115" s="911">
        <f t="shared" si="33"/>
        <v>0.59319999999999995</v>
      </c>
    </row>
    <row r="116" spans="1:13">
      <c r="A116" s="909" t="s">
        <v>2880</v>
      </c>
      <c r="B116" s="910">
        <f>ROUND(0.949-0.012*B113,4)</f>
        <v>0.87480000000000002</v>
      </c>
      <c r="C116" s="910">
        <f>B116</f>
        <v>0.87480000000000002</v>
      </c>
      <c r="D116" s="910">
        <f>ROUND(0.8567-0.013*B113,4)</f>
        <v>0.77639999999999998</v>
      </c>
      <c r="E116" s="910">
        <f t="shared" ref="E116:H117" si="34">D116</f>
        <v>0.77639999999999998</v>
      </c>
      <c r="F116" s="910">
        <f t="shared" si="34"/>
        <v>0.77639999999999998</v>
      </c>
      <c r="G116" s="910">
        <f t="shared" si="34"/>
        <v>0.77639999999999998</v>
      </c>
      <c r="H116" s="910">
        <f t="shared" si="34"/>
        <v>0.77639999999999998</v>
      </c>
      <c r="I116" s="910">
        <f>ROUND(0.7694-0.014*B113,4)</f>
        <v>0.68289999999999995</v>
      </c>
      <c r="J116" s="910">
        <f t="shared" si="33"/>
        <v>0.68289999999999995</v>
      </c>
      <c r="K116" s="910">
        <f t="shared" si="33"/>
        <v>0.68289999999999995</v>
      </c>
      <c r="L116" s="910">
        <f t="shared" si="33"/>
        <v>0.68289999999999995</v>
      </c>
      <c r="M116" s="911">
        <f t="shared" si="33"/>
        <v>0.68289999999999995</v>
      </c>
    </row>
    <row r="117" spans="1:13">
      <c r="A117" s="909" t="s">
        <v>2881</v>
      </c>
      <c r="B117" s="910">
        <f>ROUND(0.8808-0.006*B113,4)</f>
        <v>0.84370000000000001</v>
      </c>
      <c r="C117" s="910">
        <f>B117</f>
        <v>0.84370000000000001</v>
      </c>
      <c r="D117" s="910">
        <f>ROUND(0.8748-0.008*B113,4)</f>
        <v>0.82540000000000002</v>
      </c>
      <c r="E117" s="910">
        <f t="shared" si="34"/>
        <v>0.82540000000000002</v>
      </c>
      <c r="F117" s="910">
        <f t="shared" si="34"/>
        <v>0.82540000000000002</v>
      </c>
      <c r="G117" s="910">
        <f t="shared" si="34"/>
        <v>0.82540000000000002</v>
      </c>
      <c r="H117" s="910">
        <f t="shared" si="34"/>
        <v>0.82540000000000002</v>
      </c>
      <c r="I117" s="910">
        <f>ROUND(0.7412-0.0095*B113,4)</f>
        <v>0.6825</v>
      </c>
      <c r="J117" s="910">
        <f t="shared" si="33"/>
        <v>0.6825</v>
      </c>
      <c r="K117" s="910">
        <f t="shared" si="33"/>
        <v>0.6825</v>
      </c>
      <c r="L117" s="910">
        <f t="shared" si="33"/>
        <v>0.6825</v>
      </c>
      <c r="M117" s="911">
        <f t="shared" si="33"/>
        <v>0.6825</v>
      </c>
    </row>
    <row r="118" spans="1:13" ht="13.5" thickBot="1">
      <c r="A118" s="714" t="s">
        <v>2882</v>
      </c>
      <c r="B118" s="912">
        <f>ROUND(0.7275-0.01*B113,4)</f>
        <v>0.66569999999999996</v>
      </c>
      <c r="C118" s="912">
        <f>B118</f>
        <v>0.66569999999999996</v>
      </c>
      <c r="D118" s="912">
        <f>ROUND(0.7043-0.012*B113,4)</f>
        <v>0.63009999999999999</v>
      </c>
      <c r="E118" s="912">
        <f>D118</f>
        <v>0.63009999999999999</v>
      </c>
      <c r="F118" s="912">
        <f>E118</f>
        <v>0.63009999999999999</v>
      </c>
      <c r="G118" s="912">
        <f>ROUND(0.6299-0.0122*B113,4)</f>
        <v>0.55449999999999999</v>
      </c>
      <c r="H118" s="912">
        <f>G118</f>
        <v>0.55449999999999999</v>
      </c>
      <c r="I118" s="912">
        <f>ROUND(0.5667-0.0136*B113,4)</f>
        <v>0.48270000000000002</v>
      </c>
      <c r="J118" s="912">
        <f t="shared" si="33"/>
        <v>0.48270000000000002</v>
      </c>
      <c r="K118" s="912">
        <f t="shared" si="33"/>
        <v>0.48270000000000002</v>
      </c>
      <c r="L118" s="912">
        <f t="shared" si="33"/>
        <v>0.48270000000000002</v>
      </c>
      <c r="M118" s="913">
        <f t="shared" si="33"/>
        <v>0.48270000000000002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69" t="s">
        <v>183</v>
      </c>
      <c r="B18" s="882" t="s">
        <v>560</v>
      </c>
      <c r="C18" s="883" t="s">
        <v>561</v>
      </c>
      <c r="D18" s="884"/>
      <c r="E18" s="882">
        <v>1</v>
      </c>
      <c r="F18" s="885" t="s">
        <v>562</v>
      </c>
      <c r="G18" s="886"/>
      <c r="H18" s="878"/>
      <c r="I18" s="878"/>
    </row>
    <row r="19" spans="1:9" s="887" customFormat="1" ht="19.5" customHeight="1">
      <c r="A19" s="3369"/>
      <c r="B19" s="3369" t="s">
        <v>563</v>
      </c>
      <c r="C19" s="883" t="s">
        <v>564</v>
      </c>
      <c r="D19" s="884"/>
      <c r="E19" s="882">
        <v>0.9</v>
      </c>
      <c r="F19" s="885" t="s">
        <v>565</v>
      </c>
      <c r="G19" s="886"/>
      <c r="H19" s="878"/>
      <c r="I19" s="878"/>
    </row>
    <row r="20" spans="1:9" s="887" customFormat="1" ht="19.5" customHeight="1">
      <c r="A20" s="3369"/>
      <c r="B20" s="3369"/>
      <c r="C20" s="883" t="s">
        <v>566</v>
      </c>
      <c r="D20" s="884"/>
      <c r="E20" s="882">
        <v>1.1000000000000001</v>
      </c>
      <c r="F20" s="885" t="s">
        <v>567</v>
      </c>
      <c r="G20" s="886"/>
      <c r="H20" s="878"/>
      <c r="I20" s="878"/>
    </row>
    <row r="21" spans="1:9" s="887" customFormat="1" ht="19.5" customHeight="1">
      <c r="A21" s="3369"/>
      <c r="B21" s="3369"/>
      <c r="C21" s="883" t="s">
        <v>568</v>
      </c>
      <c r="D21" s="884"/>
      <c r="E21" s="882">
        <v>0.8</v>
      </c>
      <c r="F21" s="885" t="s">
        <v>569</v>
      </c>
      <c r="G21" s="886"/>
      <c r="H21" s="878"/>
      <c r="I21" s="878"/>
    </row>
    <row r="22" spans="1:9" s="887" customFormat="1" ht="19.5" customHeight="1">
      <c r="A22" s="3369"/>
      <c r="B22" s="3369"/>
      <c r="C22" s="883" t="s">
        <v>570</v>
      </c>
      <c r="D22" s="884"/>
      <c r="E22" s="882">
        <v>0.5</v>
      </c>
      <c r="F22" s="885"/>
      <c r="G22" s="886"/>
      <c r="H22" s="878"/>
      <c r="I22" s="878"/>
    </row>
    <row r="23" spans="1:9" s="887" customFormat="1" ht="19.5" customHeight="1">
      <c r="A23" s="3369" t="s">
        <v>184</v>
      </c>
      <c r="B23" s="882" t="s">
        <v>560</v>
      </c>
      <c r="C23" s="883" t="s">
        <v>571</v>
      </c>
      <c r="D23" s="884"/>
      <c r="E23" s="882">
        <v>1</v>
      </c>
      <c r="F23" s="885" t="s">
        <v>572</v>
      </c>
      <c r="G23" s="886"/>
      <c r="H23" s="878"/>
      <c r="I23" s="878"/>
    </row>
    <row r="24" spans="1:9" s="887" customFormat="1" ht="19.5" customHeight="1">
      <c r="A24" s="3369"/>
      <c r="B24" s="3369" t="s">
        <v>563</v>
      </c>
      <c r="C24" s="883" t="s">
        <v>573</v>
      </c>
      <c r="D24" s="884"/>
      <c r="E24" s="882">
        <v>0.5</v>
      </c>
      <c r="F24" s="885"/>
      <c r="G24" s="886"/>
      <c r="H24" s="878"/>
      <c r="I24" s="878"/>
    </row>
    <row r="25" spans="1:9" s="887" customFormat="1" ht="19.5" customHeight="1">
      <c r="A25" s="3369"/>
      <c r="B25" s="3369"/>
      <c r="C25" s="883" t="s">
        <v>574</v>
      </c>
      <c r="D25" s="884"/>
      <c r="E25" s="882">
        <v>1.1000000000000001</v>
      </c>
      <c r="F25" s="885"/>
      <c r="G25" s="886"/>
      <c r="H25" s="878"/>
      <c r="I25" s="878"/>
    </row>
    <row r="26" spans="1:9" s="887" customFormat="1" ht="19.5" customHeight="1">
      <c r="A26" s="3369"/>
      <c r="B26" s="3369"/>
      <c r="C26" s="883" t="s">
        <v>575</v>
      </c>
      <c r="D26" s="884"/>
      <c r="E26" s="882">
        <v>1.1000000000000001</v>
      </c>
      <c r="F26" s="885"/>
      <c r="G26" s="886"/>
      <c r="H26" s="878"/>
      <c r="I26" s="878"/>
    </row>
    <row r="27" spans="1:9" s="887" customFormat="1" ht="19.5" customHeight="1">
      <c r="A27" s="3369"/>
      <c r="B27" s="3369"/>
      <c r="C27" s="883" t="s">
        <v>576</v>
      </c>
      <c r="D27" s="884"/>
      <c r="E27" s="882">
        <v>0.9</v>
      </c>
      <c r="F27" s="885" t="s">
        <v>577</v>
      </c>
      <c r="G27" s="886"/>
      <c r="H27" s="878"/>
      <c r="I27" s="878"/>
    </row>
    <row r="28" spans="1:9" s="887" customFormat="1" ht="19.5" customHeight="1">
      <c r="A28" s="3369"/>
      <c r="B28" s="3369"/>
      <c r="C28" s="883" t="s">
        <v>578</v>
      </c>
      <c r="D28" s="884"/>
      <c r="E28" s="882">
        <v>0.9</v>
      </c>
      <c r="F28" s="885" t="s">
        <v>579</v>
      </c>
      <c r="G28" s="886"/>
      <c r="H28" s="878"/>
      <c r="I28" s="878"/>
    </row>
    <row r="29" spans="1:9" s="887" customFormat="1" ht="19.5" customHeight="1">
      <c r="A29" s="3369"/>
      <c r="B29" s="3369"/>
      <c r="C29" s="883" t="s">
        <v>580</v>
      </c>
      <c r="D29" s="884"/>
      <c r="E29" s="882">
        <v>0.9</v>
      </c>
      <c r="F29" s="885" t="s">
        <v>581</v>
      </c>
      <c r="G29" s="886"/>
      <c r="H29" s="878"/>
      <c r="I29" s="878"/>
    </row>
    <row r="30" spans="1:9" s="887" customFormat="1" ht="19.5" customHeight="1">
      <c r="A30" s="3369"/>
      <c r="B30" s="3369"/>
      <c r="C30" s="883" t="s">
        <v>582</v>
      </c>
      <c r="D30" s="884"/>
      <c r="E30" s="882">
        <v>0.9</v>
      </c>
      <c r="F30" s="885" t="s">
        <v>583</v>
      </c>
      <c r="G30" s="886"/>
      <c r="H30" s="878"/>
      <c r="I30" s="878"/>
    </row>
    <row r="31" spans="1:9" s="887" customFormat="1" ht="19.5" customHeight="1">
      <c r="A31" s="3369"/>
      <c r="B31" s="3369"/>
      <c r="C31" s="883" t="s">
        <v>584</v>
      </c>
      <c r="D31" s="884"/>
      <c r="E31" s="882">
        <v>0.8</v>
      </c>
      <c r="F31" s="885" t="s">
        <v>585</v>
      </c>
      <c r="G31" s="886"/>
      <c r="H31" s="878"/>
      <c r="I31" s="878"/>
    </row>
    <row r="32" spans="1:9" s="887" customFormat="1" ht="19.5" customHeight="1">
      <c r="A32" s="3369"/>
      <c r="B32" s="3369"/>
      <c r="C32" s="883" t="s">
        <v>586</v>
      </c>
      <c r="D32" s="884"/>
      <c r="E32" s="882">
        <v>0.8</v>
      </c>
      <c r="F32" s="885" t="s">
        <v>587</v>
      </c>
      <c r="G32" s="886"/>
      <c r="H32" s="878"/>
      <c r="I32" s="878"/>
    </row>
    <row r="33" spans="1:9" s="887" customFormat="1" ht="19.5" customHeight="1">
      <c r="A33" s="3369" t="s">
        <v>185</v>
      </c>
      <c r="B33" s="882" t="s">
        <v>560</v>
      </c>
      <c r="C33" s="883" t="s">
        <v>588</v>
      </c>
      <c r="D33" s="884"/>
      <c r="E33" s="882">
        <v>1</v>
      </c>
      <c r="F33" s="885" t="s">
        <v>589</v>
      </c>
      <c r="G33" s="886"/>
      <c r="H33" s="878"/>
      <c r="I33" s="878"/>
    </row>
    <row r="34" spans="1:9" s="887" customFormat="1" ht="19.5" customHeight="1">
      <c r="A34" s="3369"/>
      <c r="B34" s="882" t="s">
        <v>563</v>
      </c>
      <c r="C34" s="883" t="s">
        <v>590</v>
      </c>
      <c r="D34" s="884"/>
      <c r="E34" s="882">
        <v>1.5</v>
      </c>
      <c r="F34" s="885" t="s">
        <v>591</v>
      </c>
      <c r="G34" s="886"/>
      <c r="H34" s="878"/>
      <c r="I34" s="878"/>
    </row>
    <row r="35" spans="1:9" s="887" customFormat="1" ht="19.5" customHeight="1">
      <c r="A35" s="3369" t="s">
        <v>186</v>
      </c>
      <c r="B35" s="882" t="s">
        <v>560</v>
      </c>
      <c r="C35" s="883" t="s">
        <v>592</v>
      </c>
      <c r="D35" s="884"/>
      <c r="E35" s="882">
        <v>1</v>
      </c>
      <c r="F35" s="885" t="s">
        <v>593</v>
      </c>
      <c r="G35" s="886"/>
      <c r="H35" s="878"/>
      <c r="I35" s="878"/>
    </row>
    <row r="36" spans="1:9" s="887" customFormat="1" ht="19.5" customHeight="1">
      <c r="A36" s="3369"/>
      <c r="B36" s="3369" t="s">
        <v>563</v>
      </c>
      <c r="C36" s="883" t="s">
        <v>594</v>
      </c>
      <c r="D36" s="884"/>
      <c r="E36" s="882">
        <v>1</v>
      </c>
      <c r="F36" s="885" t="s">
        <v>595</v>
      </c>
      <c r="G36" s="886"/>
      <c r="H36" s="878"/>
      <c r="I36" s="878"/>
    </row>
    <row r="37" spans="1:9" s="887" customFormat="1" ht="19.5" customHeight="1">
      <c r="A37" s="3369"/>
      <c r="B37" s="3369"/>
      <c r="C37" s="883" t="s">
        <v>596</v>
      </c>
      <c r="D37" s="884"/>
      <c r="E37" s="882">
        <v>1.5</v>
      </c>
      <c r="F37" s="885" t="s">
        <v>597</v>
      </c>
      <c r="G37" s="886"/>
      <c r="H37" s="878"/>
      <c r="I37" s="878"/>
    </row>
    <row r="38" spans="1:9" s="887" customFormat="1" ht="19.5" customHeight="1">
      <c r="A38" s="3369"/>
      <c r="B38" s="3369"/>
      <c r="C38" s="883" t="s">
        <v>598</v>
      </c>
      <c r="D38" s="884"/>
      <c r="E38" s="882">
        <v>1</v>
      </c>
      <c r="F38" s="885" t="s">
        <v>599</v>
      </c>
      <c r="G38" s="886"/>
      <c r="H38" s="878"/>
      <c r="I38" s="878"/>
    </row>
    <row r="39" spans="1:9" s="887" customFormat="1" ht="19.5" customHeight="1">
      <c r="A39" s="3369"/>
      <c r="B39" s="33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69" t="s">
        <v>614</v>
      </c>
      <c r="C61" s="818" t="s">
        <v>615</v>
      </c>
      <c r="D61" s="818" t="s">
        <v>616</v>
      </c>
      <c r="E61" s="895">
        <v>0.5</v>
      </c>
      <c r="F61" s="882">
        <v>80</v>
      </c>
    </row>
    <row r="62" spans="1:8" s="878" customFormat="1" ht="24">
      <c r="A62" s="882">
        <v>2</v>
      </c>
      <c r="B62" s="3369"/>
      <c r="C62" s="818" t="s">
        <v>617</v>
      </c>
      <c r="D62" s="818" t="s">
        <v>618</v>
      </c>
      <c r="E62" s="895">
        <v>0.5</v>
      </c>
      <c r="F62" s="882">
        <v>80</v>
      </c>
    </row>
    <row r="63" spans="1:8" s="878" customFormat="1" ht="36">
      <c r="A63" s="882">
        <v>3</v>
      </c>
      <c r="B63" s="3369"/>
      <c r="C63" s="818" t="s">
        <v>619</v>
      </c>
      <c r="D63" s="818" t="s">
        <v>620</v>
      </c>
      <c r="E63" s="895">
        <v>0.5</v>
      </c>
      <c r="F63" s="882">
        <v>80</v>
      </c>
    </row>
    <row r="64" spans="1:8" s="878" customFormat="1" ht="36">
      <c r="A64" s="882">
        <v>4</v>
      </c>
      <c r="B64" s="3369"/>
      <c r="C64" s="818" t="s">
        <v>621</v>
      </c>
      <c r="D64" s="818" t="s">
        <v>622</v>
      </c>
      <c r="E64" s="895">
        <v>0.4</v>
      </c>
      <c r="F64" s="882">
        <v>60</v>
      </c>
    </row>
    <row r="65" spans="1:6" s="878" customFormat="1" ht="36">
      <c r="A65" s="882">
        <v>5</v>
      </c>
      <c r="B65" s="3369"/>
      <c r="C65" s="818" t="s">
        <v>623</v>
      </c>
      <c r="D65" s="818" t="s">
        <v>624</v>
      </c>
      <c r="E65" s="895">
        <v>0.2</v>
      </c>
      <c r="F65" s="882">
        <v>30</v>
      </c>
    </row>
    <row r="66" spans="1:6" s="878" customFormat="1" ht="36">
      <c r="A66" s="882">
        <v>6</v>
      </c>
      <c r="B66" s="3369"/>
      <c r="C66" s="818" t="s">
        <v>625</v>
      </c>
      <c r="D66" s="818" t="s">
        <v>626</v>
      </c>
      <c r="E66" s="895">
        <v>0.3</v>
      </c>
      <c r="F66" s="882">
        <v>50</v>
      </c>
    </row>
    <row r="67" spans="1:6" s="878" customFormat="1" ht="36">
      <c r="A67" s="882">
        <v>7</v>
      </c>
      <c r="B67" s="3369"/>
      <c r="C67" s="818" t="s">
        <v>627</v>
      </c>
      <c r="D67" s="818" t="s">
        <v>628</v>
      </c>
      <c r="E67" s="895">
        <v>0.2</v>
      </c>
      <c r="F67" s="882">
        <v>30</v>
      </c>
    </row>
    <row r="68" spans="1:6" s="878" customFormat="1" ht="36">
      <c r="A68" s="882">
        <v>8</v>
      </c>
      <c r="B68" s="3369"/>
      <c r="C68" s="818" t="s">
        <v>629</v>
      </c>
      <c r="D68" s="818" t="s">
        <v>630</v>
      </c>
      <c r="E68" s="895">
        <v>0.2</v>
      </c>
      <c r="F68" s="882">
        <v>30</v>
      </c>
    </row>
    <row r="69" spans="1:6" s="878" customFormat="1" ht="36">
      <c r="A69" s="882">
        <v>9</v>
      </c>
      <c r="B69" s="3369"/>
      <c r="C69" s="818" t="s">
        <v>631</v>
      </c>
      <c r="D69" s="818" t="s">
        <v>632</v>
      </c>
      <c r="E69" s="895">
        <v>0.2</v>
      </c>
      <c r="F69" s="882">
        <v>30</v>
      </c>
    </row>
    <row r="70" spans="1:6" s="878" customFormat="1" ht="48">
      <c r="A70" s="882">
        <v>10</v>
      </c>
      <c r="B70" s="3369"/>
      <c r="C70" s="818" t="s">
        <v>633</v>
      </c>
      <c r="D70" s="818" t="s">
        <v>634</v>
      </c>
      <c r="E70" s="895">
        <v>0.2</v>
      </c>
      <c r="F70" s="882">
        <v>30</v>
      </c>
    </row>
    <row r="71" spans="1:6" s="878" customFormat="1" ht="48">
      <c r="A71" s="882">
        <v>11</v>
      </c>
      <c r="B71" s="3369"/>
      <c r="C71" s="818" t="s">
        <v>635</v>
      </c>
      <c r="D71" s="818" t="s">
        <v>636</v>
      </c>
      <c r="E71" s="895">
        <v>0.2</v>
      </c>
      <c r="F71" s="882">
        <v>30</v>
      </c>
    </row>
    <row r="72" spans="1:6" s="878" customFormat="1" ht="36">
      <c r="A72" s="882">
        <v>12</v>
      </c>
      <c r="B72" s="3369"/>
      <c r="C72" s="818" t="s">
        <v>637</v>
      </c>
      <c r="D72" s="818" t="s">
        <v>638</v>
      </c>
      <c r="E72" s="895">
        <v>0.5</v>
      </c>
      <c r="F72" s="882">
        <v>80</v>
      </c>
    </row>
    <row r="73" spans="1:6" s="878" customFormat="1" ht="24">
      <c r="A73" s="882">
        <v>13</v>
      </c>
      <c r="B73" s="3369"/>
      <c r="C73" s="818" t="s">
        <v>639</v>
      </c>
      <c r="D73" s="818" t="s">
        <v>640</v>
      </c>
      <c r="E73" s="895">
        <v>0.4</v>
      </c>
      <c r="F73" s="882">
        <v>60</v>
      </c>
    </row>
    <row r="74" spans="1:6" s="878" customFormat="1" ht="24">
      <c r="A74" s="882">
        <v>14</v>
      </c>
      <c r="B74" s="3369"/>
      <c r="C74" s="818" t="s">
        <v>641</v>
      </c>
      <c r="D74" s="818" t="s">
        <v>642</v>
      </c>
      <c r="E74" s="895">
        <v>0.2</v>
      </c>
      <c r="F74" s="882">
        <v>30</v>
      </c>
    </row>
    <row r="75" spans="1:6" s="878" customFormat="1" ht="24">
      <c r="A75" s="882">
        <v>15</v>
      </c>
      <c r="B75" s="3369"/>
      <c r="C75" s="818" t="s">
        <v>643</v>
      </c>
      <c r="D75" s="818" t="s">
        <v>644</v>
      </c>
      <c r="E75" s="895">
        <v>0.2</v>
      </c>
      <c r="F75" s="882">
        <v>30</v>
      </c>
    </row>
    <row r="76" spans="1:6" s="878" customFormat="1" ht="24">
      <c r="A76" s="882">
        <v>16</v>
      </c>
      <c r="B76" s="3369" t="s">
        <v>645</v>
      </c>
      <c r="C76" s="818" t="s">
        <v>646</v>
      </c>
      <c r="D76" s="818" t="s">
        <v>647</v>
      </c>
      <c r="E76" s="895">
        <v>0.5</v>
      </c>
      <c r="F76" s="882">
        <v>80</v>
      </c>
    </row>
    <row r="77" spans="1:6" s="878" customFormat="1" ht="24">
      <c r="A77" s="882">
        <v>17</v>
      </c>
      <c r="B77" s="3369"/>
      <c r="C77" s="818" t="s">
        <v>648</v>
      </c>
      <c r="D77" s="818" t="s">
        <v>649</v>
      </c>
      <c r="E77" s="895">
        <v>0.5</v>
      </c>
      <c r="F77" s="882">
        <v>80</v>
      </c>
    </row>
    <row r="78" spans="1:6" s="878" customFormat="1" ht="24">
      <c r="A78" s="882">
        <v>18</v>
      </c>
      <c r="B78" s="3369"/>
      <c r="C78" s="818" t="s">
        <v>650</v>
      </c>
      <c r="D78" s="818" t="s">
        <v>651</v>
      </c>
      <c r="E78" s="895">
        <v>0.2</v>
      </c>
      <c r="F78" s="882">
        <v>30</v>
      </c>
    </row>
    <row r="79" spans="1:6" s="878" customFormat="1" ht="24">
      <c r="A79" s="882">
        <v>19</v>
      </c>
      <c r="B79" s="3369"/>
      <c r="C79" s="818" t="s">
        <v>652</v>
      </c>
      <c r="D79" s="818" t="s">
        <v>653</v>
      </c>
      <c r="E79" s="895">
        <v>0.5</v>
      </c>
      <c r="F79" s="882">
        <v>80</v>
      </c>
    </row>
    <row r="80" spans="1:6" s="878" customFormat="1" ht="36">
      <c r="A80" s="882">
        <v>20</v>
      </c>
      <c r="B80" s="3369"/>
      <c r="C80" s="818" t="s">
        <v>654</v>
      </c>
      <c r="D80" s="818" t="s">
        <v>655</v>
      </c>
      <c r="E80" s="895">
        <v>0.2</v>
      </c>
      <c r="F80" s="882">
        <v>30</v>
      </c>
    </row>
    <row r="81" spans="1:6" s="878" customFormat="1" ht="36">
      <c r="A81" s="882">
        <v>21</v>
      </c>
      <c r="B81" s="3369"/>
      <c r="C81" s="818" t="s">
        <v>656</v>
      </c>
      <c r="D81" s="818" t="s">
        <v>657</v>
      </c>
      <c r="E81" s="895">
        <v>0.2</v>
      </c>
      <c r="F81" s="882">
        <v>30</v>
      </c>
    </row>
    <row r="82" spans="1:6" s="878" customFormat="1" ht="48">
      <c r="A82" s="882">
        <v>22</v>
      </c>
      <c r="B82" s="3369"/>
      <c r="C82" s="818" t="s">
        <v>658</v>
      </c>
      <c r="D82" s="818" t="s">
        <v>659</v>
      </c>
      <c r="E82" s="895">
        <v>0.2</v>
      </c>
      <c r="F82" s="882">
        <v>30</v>
      </c>
    </row>
    <row r="83" spans="1:6" s="878" customFormat="1" ht="48">
      <c r="A83" s="882">
        <v>23</v>
      </c>
      <c r="B83" s="3369"/>
      <c r="C83" s="818" t="s">
        <v>660</v>
      </c>
      <c r="D83" s="818" t="s">
        <v>661</v>
      </c>
      <c r="E83" s="895">
        <v>0.2</v>
      </c>
      <c r="F83" s="882">
        <v>30</v>
      </c>
    </row>
    <row r="84" spans="1:6" s="878" customFormat="1" ht="36">
      <c r="A84" s="882">
        <v>24</v>
      </c>
      <c r="B84" s="3369"/>
      <c r="C84" s="818" t="s">
        <v>662</v>
      </c>
      <c r="D84" s="818" t="s">
        <v>663</v>
      </c>
      <c r="E84" s="895">
        <v>0.2</v>
      </c>
      <c r="F84" s="882">
        <v>30</v>
      </c>
    </row>
    <row r="85" spans="1:6" s="878" customFormat="1" ht="36">
      <c r="A85" s="882">
        <v>25</v>
      </c>
      <c r="B85" s="3369"/>
      <c r="C85" s="818" t="s">
        <v>664</v>
      </c>
      <c r="D85" s="818" t="s">
        <v>665</v>
      </c>
      <c r="E85" s="895">
        <v>0.5</v>
      </c>
      <c r="F85" s="882">
        <v>80</v>
      </c>
    </row>
    <row r="86" spans="1:6" s="878" customFormat="1" ht="36">
      <c r="A86" s="882">
        <v>26</v>
      </c>
      <c r="B86" s="3369"/>
      <c r="C86" s="818" t="s">
        <v>666</v>
      </c>
      <c r="D86" s="818" t="s">
        <v>667</v>
      </c>
      <c r="E86" s="895">
        <v>0.2</v>
      </c>
      <c r="F86" s="882">
        <v>30</v>
      </c>
    </row>
    <row r="87" spans="1:6" s="878" customFormat="1" ht="36">
      <c r="A87" s="882">
        <v>27</v>
      </c>
      <c r="B87" s="3369"/>
      <c r="C87" s="818" t="s">
        <v>668</v>
      </c>
      <c r="D87" s="818" t="s">
        <v>669</v>
      </c>
      <c r="E87" s="895">
        <v>0.2</v>
      </c>
      <c r="F87" s="882">
        <v>30</v>
      </c>
    </row>
    <row r="88" spans="1:6" s="878" customFormat="1" ht="36">
      <c r="A88" s="882">
        <v>28</v>
      </c>
      <c r="B88" s="3369"/>
      <c r="C88" s="818" t="s">
        <v>670</v>
      </c>
      <c r="D88" s="818" t="s">
        <v>671</v>
      </c>
      <c r="E88" s="895">
        <v>0.2</v>
      </c>
      <c r="F88" s="882">
        <v>30</v>
      </c>
    </row>
    <row r="89" spans="1:6" s="878" customFormat="1" ht="24">
      <c r="A89" s="882">
        <v>29</v>
      </c>
      <c r="B89" s="3369"/>
      <c r="C89" s="818" t="s">
        <v>672</v>
      </c>
      <c r="D89" s="818" t="s">
        <v>673</v>
      </c>
      <c r="E89" s="895">
        <v>0.2</v>
      </c>
      <c r="F89" s="882">
        <v>30</v>
      </c>
    </row>
    <row r="90" spans="1:6" s="878" customFormat="1" ht="24">
      <c r="A90" s="882">
        <v>30</v>
      </c>
      <c r="B90" s="3369"/>
      <c r="C90" s="818" t="s">
        <v>674</v>
      </c>
      <c r="D90" s="818" t="s">
        <v>675</v>
      </c>
      <c r="E90" s="895">
        <v>0.2</v>
      </c>
      <c r="F90" s="882">
        <v>30</v>
      </c>
    </row>
    <row r="91" spans="1:6" s="878" customFormat="1" ht="36">
      <c r="A91" s="882">
        <v>31</v>
      </c>
      <c r="B91" s="3369"/>
      <c r="C91" s="818" t="s">
        <v>676</v>
      </c>
      <c r="D91" s="818" t="s">
        <v>677</v>
      </c>
      <c r="E91" s="895">
        <v>0.2</v>
      </c>
      <c r="F91" s="882">
        <v>30</v>
      </c>
    </row>
    <row r="92" spans="1:6" s="878" customFormat="1" ht="24">
      <c r="A92" s="882">
        <v>32</v>
      </c>
      <c r="B92" s="3369" t="s">
        <v>678</v>
      </c>
      <c r="C92" s="882" t="s">
        <v>679</v>
      </c>
      <c r="D92" s="818" t="s">
        <v>680</v>
      </c>
      <c r="E92" s="895">
        <v>0.2</v>
      </c>
      <c r="F92" s="882">
        <v>30</v>
      </c>
    </row>
    <row r="93" spans="1:6" s="878" customFormat="1" ht="36">
      <c r="A93" s="882">
        <v>33</v>
      </c>
      <c r="B93" s="3369"/>
      <c r="C93" s="882" t="s">
        <v>681</v>
      </c>
      <c r="D93" s="818" t="s">
        <v>682</v>
      </c>
      <c r="E93" s="895">
        <v>0.2</v>
      </c>
      <c r="F93" s="882">
        <v>30</v>
      </c>
    </row>
    <row r="94" spans="1:6" s="878" customFormat="1" ht="48">
      <c r="A94" s="882">
        <v>34</v>
      </c>
      <c r="B94" s="3369"/>
      <c r="C94" s="882" t="s">
        <v>683</v>
      </c>
      <c r="D94" s="818" t="s">
        <v>684</v>
      </c>
      <c r="E94" s="895">
        <v>0.2</v>
      </c>
      <c r="F94" s="882">
        <v>30</v>
      </c>
    </row>
    <row r="95" spans="1:6" s="878" customFormat="1" ht="36">
      <c r="A95" s="882">
        <v>35</v>
      </c>
      <c r="B95" s="3369"/>
      <c r="C95" s="882" t="s">
        <v>685</v>
      </c>
      <c r="D95" s="818" t="s">
        <v>686</v>
      </c>
      <c r="E95" s="895">
        <v>0.2</v>
      </c>
      <c r="F95" s="882">
        <v>30</v>
      </c>
    </row>
    <row r="96" spans="1:6" s="878" customFormat="1" ht="48">
      <c r="A96" s="882">
        <v>36</v>
      </c>
      <c r="B96" s="3369"/>
      <c r="C96" s="818" t="s">
        <v>687</v>
      </c>
      <c r="D96" s="818" t="s">
        <v>688</v>
      </c>
      <c r="E96" s="895">
        <v>0.2</v>
      </c>
      <c r="F96" s="882">
        <v>30</v>
      </c>
    </row>
    <row r="97" spans="1:6" s="878" customFormat="1" ht="36">
      <c r="A97" s="882">
        <v>37</v>
      </c>
      <c r="B97" s="3369"/>
      <c r="C97" s="882" t="s">
        <v>689</v>
      </c>
      <c r="D97" s="818" t="s">
        <v>690</v>
      </c>
      <c r="E97" s="895">
        <v>0.2</v>
      </c>
      <c r="F97" s="882">
        <v>30</v>
      </c>
    </row>
    <row r="98" spans="1:6" s="878" customFormat="1" ht="36">
      <c r="A98" s="882">
        <v>38</v>
      </c>
      <c r="B98" s="3369"/>
      <c r="C98" s="882" t="s">
        <v>691</v>
      </c>
      <c r="D98" s="818" t="s">
        <v>692</v>
      </c>
      <c r="E98" s="895">
        <v>0.2</v>
      </c>
      <c r="F98" s="882">
        <v>30</v>
      </c>
    </row>
    <row r="99" spans="1:6" s="878" customFormat="1" ht="36">
      <c r="A99" s="882">
        <v>39</v>
      </c>
      <c r="B99" s="3369" t="s">
        <v>693</v>
      </c>
      <c r="C99" s="882" t="s">
        <v>694</v>
      </c>
      <c r="D99" s="818" t="s">
        <v>695</v>
      </c>
      <c r="E99" s="895">
        <v>0.3</v>
      </c>
      <c r="F99" s="882">
        <v>50</v>
      </c>
    </row>
    <row r="100" spans="1:6" s="878" customFormat="1" ht="24">
      <c r="A100" s="882">
        <v>40</v>
      </c>
      <c r="B100" s="3369"/>
      <c r="C100" s="882" t="s">
        <v>696</v>
      </c>
      <c r="D100" s="818" t="s">
        <v>697</v>
      </c>
      <c r="E100" s="895">
        <v>0.2</v>
      </c>
      <c r="F100" s="882">
        <v>30</v>
      </c>
    </row>
    <row r="101" spans="1:6" s="878" customFormat="1" ht="36">
      <c r="A101" s="882">
        <v>41</v>
      </c>
      <c r="B101" s="33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69" t="s">
        <v>708</v>
      </c>
      <c r="C105" s="882" t="s">
        <v>709</v>
      </c>
      <c r="D105" s="818" t="s">
        <v>710</v>
      </c>
      <c r="E105" s="895">
        <v>0.2</v>
      </c>
      <c r="F105" s="882">
        <v>30</v>
      </c>
    </row>
    <row r="106" spans="1:6" s="878" customFormat="1" ht="36">
      <c r="A106" s="882">
        <v>46</v>
      </c>
      <c r="B106" s="3369"/>
      <c r="C106" s="882" t="s">
        <v>711</v>
      </c>
      <c r="D106" s="818" t="s">
        <v>712</v>
      </c>
      <c r="E106" s="895">
        <v>0.2</v>
      </c>
      <c r="F106" s="882">
        <v>30</v>
      </c>
    </row>
    <row r="107" spans="1:6" s="878" customFormat="1" ht="36">
      <c r="A107" s="882">
        <v>47</v>
      </c>
      <c r="B107" s="3369" t="s">
        <v>713</v>
      </c>
      <c r="C107" s="882" t="s">
        <v>714</v>
      </c>
      <c r="D107" s="818" t="s">
        <v>715</v>
      </c>
      <c r="E107" s="895">
        <v>0.3</v>
      </c>
      <c r="F107" s="882">
        <v>50</v>
      </c>
    </row>
    <row r="108" spans="1:6" s="878" customFormat="1" ht="36">
      <c r="A108" s="882">
        <v>48</v>
      </c>
      <c r="B108" s="33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69" t="s">
        <v>724</v>
      </c>
      <c r="C111" s="882" t="s">
        <v>725</v>
      </c>
      <c r="D111" s="818" t="s">
        <v>726</v>
      </c>
      <c r="E111" s="895">
        <v>0.2</v>
      </c>
      <c r="F111" s="882">
        <v>30</v>
      </c>
    </row>
    <row r="112" spans="1:6" s="878" customFormat="1" ht="24">
      <c r="A112" s="882">
        <v>52</v>
      </c>
      <c r="B112" s="3369"/>
      <c r="C112" s="882" t="s">
        <v>727</v>
      </c>
      <c r="D112" s="818" t="s">
        <v>728</v>
      </c>
      <c r="E112" s="895">
        <v>0.2</v>
      </c>
      <c r="F112" s="882">
        <v>30</v>
      </c>
    </row>
    <row r="113" spans="1:6" s="878" customFormat="1" ht="24">
      <c r="A113" s="882">
        <v>53</v>
      </c>
      <c r="B113" s="33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69" t="s">
        <v>737</v>
      </c>
      <c r="C116" s="882" t="s">
        <v>738</v>
      </c>
      <c r="D116" s="818" t="s">
        <v>739</v>
      </c>
      <c r="E116" s="895">
        <v>0.2</v>
      </c>
      <c r="F116" s="882">
        <v>30</v>
      </c>
    </row>
    <row r="117" spans="1:6" ht="36">
      <c r="A117" s="882">
        <v>57</v>
      </c>
      <c r="B117" s="33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8"/>
      <c r="C2" s="3038"/>
      <c r="D2" s="3038"/>
      <c r="E2" s="3038"/>
    </row>
    <row r="3" spans="1:5" ht="18">
      <c r="A3" s="3039" t="str">
        <f>IF(项目基本情况!B9="房地产市场价值","估价结果一览表（市场价值不需“结果表-1”）","估价结果一览表")</f>
        <v>估价结果一览表</v>
      </c>
      <c r="B3" s="3039"/>
      <c r="C3" s="3039"/>
      <c r="D3" s="3039"/>
      <c r="E3" s="3039"/>
    </row>
    <row r="4" spans="1:5" ht="19.5" thickBot="1">
      <c r="A4" s="1964"/>
      <c r="B4" s="3037" t="s">
        <v>1626</v>
      </c>
      <c r="C4" s="3037"/>
      <c r="D4" s="3037"/>
      <c r="E4" s="1964"/>
    </row>
    <row r="5" spans="1:5" ht="16.5" thickTop="1">
      <c r="A5" s="1962"/>
      <c r="B5" s="3035" t="s">
        <v>1618</v>
      </c>
      <c r="C5" s="1965" t="s">
        <v>1619</v>
      </c>
      <c r="D5" s="1043">
        <f ca="1">结果表!H101</f>
        <v>52798</v>
      </c>
      <c r="E5" s="1962"/>
    </row>
    <row r="6" spans="1:5" ht="15.75">
      <c r="A6" s="1962"/>
      <c r="B6" s="3035"/>
      <c r="C6" s="1965" t="s">
        <v>1620</v>
      </c>
      <c r="D6" s="1043" t="str">
        <f ca="1">NUMBERSTRING(INT(D5*10000),2)&amp;"元整"</f>
        <v>伍亿贰仟柒佰玖拾捌万元整</v>
      </c>
      <c r="E6" s="1962"/>
    </row>
    <row r="7" spans="1:5" ht="15.75">
      <c r="A7" s="1962"/>
      <c r="B7" s="3040"/>
      <c r="C7" s="1966" t="s">
        <v>1621</v>
      </c>
      <c r="D7" s="1044">
        <f ca="1">结果表!H102</f>
        <v>17116</v>
      </c>
      <c r="E7" s="1962"/>
    </row>
    <row r="8" spans="1:5" ht="15.75">
      <c r="A8" s="1962"/>
      <c r="B8" s="3041" t="str">
        <f>结果表!E103</f>
        <v>2.估价师知悉的法定优先受偿款</v>
      </c>
      <c r="C8" s="1967" t="s">
        <v>1622</v>
      </c>
      <c r="D8" s="1044">
        <f>结果表!H103</f>
        <v>0</v>
      </c>
      <c r="E8" s="1962"/>
    </row>
    <row r="9" spans="1:5" ht="15.75">
      <c r="A9" s="1962"/>
      <c r="B9" s="304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4" t="str">
        <f>结果表!E107</f>
        <v>3.房地产抵押价值</v>
      </c>
      <c r="C13" s="1970" t="s">
        <v>1619</v>
      </c>
      <c r="D13" s="1046">
        <f ca="1">结果表!H107</f>
        <v>52798</v>
      </c>
      <c r="E13" s="1962"/>
    </row>
    <row r="14" spans="1:5" ht="15.75">
      <c r="A14" s="1962"/>
      <c r="B14" s="3035"/>
      <c r="C14" s="1965" t="s">
        <v>1620</v>
      </c>
      <c r="D14" s="1043" t="str">
        <f ca="1">NUMBERSTRING(INT(D13*10000),2)&amp;"元整"</f>
        <v>伍亿贰仟柒佰玖拾捌万元整</v>
      </c>
      <c r="E14" s="1962"/>
    </row>
    <row r="15" spans="1:5" ht="15">
      <c r="A15" s="1962"/>
      <c r="B15" s="3040"/>
      <c r="C15" s="1966" t="s">
        <v>1630</v>
      </c>
      <c r="D15" s="1055">
        <f ca="1">结果表!H108</f>
        <v>15533</v>
      </c>
      <c r="E15" s="1962"/>
    </row>
    <row r="16" spans="1:5" ht="15">
      <c r="A16" s="1962"/>
      <c r="B16" s="3041" t="str">
        <f>结果表!E109</f>
        <v>——</v>
      </c>
      <c r="C16" s="1970" t="s">
        <v>1631</v>
      </c>
      <c r="D16" s="1971" t="str">
        <f>结果表!H109</f>
        <v>——</v>
      </c>
      <c r="E16" s="1962"/>
    </row>
    <row r="17" spans="1:5" ht="15.75">
      <c r="A17" s="1962"/>
      <c r="B17" s="3042"/>
      <c r="C17" s="1965" t="s">
        <v>1632</v>
      </c>
      <c r="D17" s="1043" t="e">
        <f>NUMBERSTRING(INT(D16*10000),2)&amp;"元整"</f>
        <v>#VALUE!</v>
      </c>
      <c r="E17" s="1962"/>
    </row>
    <row r="18" spans="1:5" ht="15">
      <c r="A18" s="1962"/>
      <c r="B18" s="3043"/>
      <c r="C18" s="1966" t="s">
        <v>1621</v>
      </c>
      <c r="D18" s="1055" t="str">
        <f>结果表!H110</f>
        <v>——</v>
      </c>
      <c r="E18" s="1962"/>
    </row>
    <row r="19" spans="1:5" ht="15.75">
      <c r="A19" s="1962"/>
      <c r="B19" s="3034" t="str">
        <f>结果表!E111</f>
        <v>——</v>
      </c>
      <c r="C19" s="1970" t="s">
        <v>1619</v>
      </c>
      <c r="D19" s="1044" t="str">
        <f>结果表!H111</f>
        <v>——</v>
      </c>
      <c r="E19" s="1962"/>
    </row>
    <row r="20" spans="1:5" ht="15.75">
      <c r="A20" s="1962"/>
      <c r="B20" s="3035"/>
      <c r="C20" s="1965" t="s">
        <v>1632</v>
      </c>
      <c r="D20" s="1043" t="e">
        <f>NUMBERSTRING(INT(D19*10000),2)&amp;"元整"</f>
        <v>#VALUE!</v>
      </c>
      <c r="E20" s="1962"/>
    </row>
    <row r="21" spans="1:5" ht="15.75" thickBot="1">
      <c r="A21" s="1962"/>
      <c r="B21" s="303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3005</v>
      </c>
    </row>
    <row r="2" spans="1:5" ht="15.75">
      <c r="A2" s="2915" t="s">
        <v>2997</v>
      </c>
      <c r="B2" s="2916" t="e">
        <f ca="1">SUMIF(B6:B13,"&lt;&gt;#ref!",B6:B13)</f>
        <v>#DIV/0!</v>
      </c>
      <c r="C2" s="2915" t="s">
        <v>2998</v>
      </c>
      <c r="D2" s="2915" t="s">
        <v>2999</v>
      </c>
      <c r="E2" s="2916">
        <f ca="1">SUMIF(E6:E13,"&lt;&gt;#ref!",E6:E13)</f>
        <v>0</v>
      </c>
    </row>
    <row r="3" spans="1:5" ht="15.75">
      <c r="A3" s="2915" t="s">
        <v>3000</v>
      </c>
      <c r="B3" s="2916" t="e">
        <f ca="1">ROUND(B2*10000/E2,0)</f>
        <v>#DIV/0!</v>
      </c>
      <c r="C3" s="2915" t="s">
        <v>3006</v>
      </c>
      <c r="D3" s="2917"/>
      <c r="E3" s="2917"/>
    </row>
    <row r="4" spans="1:5" ht="15.75">
      <c r="A4" s="2918"/>
      <c r="B4" s="2917"/>
      <c r="C4" s="2917"/>
      <c r="D4" s="2917"/>
      <c r="E4" s="2917"/>
    </row>
    <row r="5" spans="1:5" ht="28.5">
      <c r="A5" s="2919" t="s">
        <v>3001</v>
      </c>
      <c r="B5" s="2915" t="s">
        <v>3002</v>
      </c>
      <c r="C5" s="2916"/>
      <c r="D5" s="2917"/>
      <c r="E5" s="2915" t="s">
        <v>3003</v>
      </c>
    </row>
    <row r="6" spans="1:5" ht="15.75">
      <c r="A6" s="2920" t="s">
        <v>3004</v>
      </c>
      <c r="B6" s="2916" t="e">
        <f ca="1">SUMIF(INDIRECT("'"&amp;A6&amp;"'"&amp;"!A:A"),"总价",INDIRECT("'"&amp;A6&amp;"'"&amp;"!B:B"))</f>
        <v>#DIV/0!</v>
      </c>
      <c r="C6" s="2915" t="s">
        <v>2998</v>
      </c>
      <c r="D6" s="2917"/>
      <c r="E6" s="2581">
        <f ca="1">SUMIF(INDIRECT("'"&amp;A6&amp;"'"&amp;"!C:C"),"建筑面积",INDIRECT("'"&amp;A6&amp;"'"&amp;"!D:D"))</f>
        <v>0</v>
      </c>
    </row>
    <row r="7" spans="1:5" ht="15.75">
      <c r="A7" s="2920"/>
      <c r="B7" s="2916" t="e">
        <f ca="1">SUMIF(INDIRECT("'"&amp;A7&amp;"'"&amp;"!A:A"),"总价",INDIRECT("'"&amp;A7&amp;"'"&amp;"!B:B"))</f>
        <v>#REF!</v>
      </c>
      <c r="C7" s="2915" t="s">
        <v>2998</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2998</v>
      </c>
      <c r="D8" s="2917"/>
      <c r="E8" s="2581" t="e">
        <f t="shared" ca="1" si="0"/>
        <v>#REF!</v>
      </c>
    </row>
    <row r="9" spans="1:5" ht="15.75">
      <c r="A9" s="2920"/>
      <c r="B9" s="2916" t="e">
        <f t="shared" ca="1" si="1"/>
        <v>#REF!</v>
      </c>
      <c r="C9" s="2915" t="s">
        <v>2998</v>
      </c>
      <c r="D9" s="2917"/>
      <c r="E9" s="2581" t="e">
        <f t="shared" ca="1" si="0"/>
        <v>#REF!</v>
      </c>
    </row>
    <row r="10" spans="1:5" ht="15.75">
      <c r="A10" s="2920"/>
      <c r="B10" s="2916" t="e">
        <f t="shared" ca="1" si="1"/>
        <v>#REF!</v>
      </c>
      <c r="C10" s="2915" t="s">
        <v>2998</v>
      </c>
      <c r="D10" s="2917"/>
      <c r="E10" s="2581" t="e">
        <f t="shared" ca="1" si="0"/>
        <v>#REF!</v>
      </c>
    </row>
    <row r="11" spans="1:5" ht="15.75">
      <c r="A11" s="2920"/>
      <c r="B11" s="2916" t="e">
        <f t="shared" ca="1" si="1"/>
        <v>#REF!</v>
      </c>
      <c r="C11" s="2915" t="s">
        <v>2998</v>
      </c>
      <c r="D11" s="2917"/>
      <c r="E11" s="2581" t="e">
        <f t="shared" ca="1" si="0"/>
        <v>#REF!</v>
      </c>
    </row>
    <row r="12" spans="1:5" ht="15.75">
      <c r="A12" s="2920"/>
      <c r="B12" s="2916" t="e">
        <f t="shared" ca="1" si="1"/>
        <v>#REF!</v>
      </c>
      <c r="C12" s="2915" t="s">
        <v>2998</v>
      </c>
      <c r="D12" s="2917"/>
      <c r="E12" s="2581" t="e">
        <f t="shared" ca="1" si="0"/>
        <v>#REF!</v>
      </c>
    </row>
    <row r="13" spans="1:5" ht="15.75">
      <c r="A13" s="2920"/>
      <c r="B13" s="2916" t="e">
        <f t="shared" ca="1" si="1"/>
        <v>#REF!</v>
      </c>
      <c r="C13" s="2915" t="s">
        <v>2998</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75" t="s">
        <v>1146</v>
      </c>
      <c r="C1" s="3375"/>
      <c r="D1" s="3375"/>
      <c r="E1" s="3375"/>
      <c r="F1" s="3375"/>
      <c r="G1" s="3374" t="s">
        <v>1147</v>
      </c>
      <c r="H1" s="3374"/>
      <c r="I1" s="3374"/>
      <c r="J1" s="3374"/>
      <c r="K1" s="3374"/>
      <c r="L1" s="3374"/>
      <c r="N1" s="3374" t="s">
        <v>1148</v>
      </c>
      <c r="O1" s="3374"/>
      <c r="P1" s="3374"/>
      <c r="Q1" s="3374"/>
      <c r="R1" s="1449"/>
      <c r="S1" s="3374" t="s">
        <v>1149</v>
      </c>
      <c r="T1" s="3374"/>
      <c r="U1" s="3374"/>
      <c r="V1" s="3374"/>
      <c r="X1" s="3373" t="s">
        <v>1150</v>
      </c>
      <c r="Y1" s="3374"/>
      <c r="Z1" s="3374"/>
      <c r="AA1" s="3374"/>
      <c r="AB1" s="3374"/>
      <c r="AD1" s="3373" t="s">
        <v>1151</v>
      </c>
      <c r="AE1" s="3374"/>
      <c r="AF1" s="3374"/>
      <c r="AG1" s="3374"/>
      <c r="AH1" s="3374"/>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3036</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3049</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3037</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3050</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71">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3043</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71"/>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3042</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71"/>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3035</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80"/>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3032</v>
      </c>
      <c r="B10" s="1472">
        <v>439</v>
      </c>
      <c r="C10" s="1472">
        <v>327</v>
      </c>
      <c r="D10" s="1472">
        <f>C10</f>
        <v>327</v>
      </c>
      <c r="E10" s="1472">
        <v>627</v>
      </c>
      <c r="F10" s="1473">
        <v>283</v>
      </c>
      <c r="G10" s="3376">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3033</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71"/>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71"/>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80"/>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76">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71"/>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71"/>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72"/>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70">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71"/>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71"/>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72"/>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70">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71"/>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71"/>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72"/>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77">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78"/>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78"/>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79"/>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70">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71"/>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71"/>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72"/>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70">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71">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71">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72">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70">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71">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71">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72">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70">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71">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71">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72">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70">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71">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71">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72">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70">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71">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71">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72">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70">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71">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71">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72">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70">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71">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71">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72">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70">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71">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71">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72">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70">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71">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71">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72">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70">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71">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71">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72">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45404</v>
      </c>
      <c r="C2" s="2" t="s">
        <v>133</v>
      </c>
      <c r="D2" s="243"/>
      <c r="E2" s="243"/>
      <c r="F2" s="243"/>
      <c r="G2" s="243"/>
    </row>
    <row r="3" spans="1:7" s="244" customFormat="1" ht="18" customHeight="1" thickBot="1">
      <c r="A3" s="247" t="s">
        <v>85</v>
      </c>
      <c r="B3" s="248">
        <f ca="1">ROUND(B2*10000/'数据-汇总表'!E3,0)</f>
        <v>13357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3.0519999999999999E-2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50</v>
      </c>
      <c r="F9" s="265"/>
      <c r="G9" s="270"/>
    </row>
    <row r="10" spans="1:7" s="258" customFormat="1" ht="13.5" customHeight="1">
      <c r="A10" s="953" t="s">
        <v>801</v>
      </c>
      <c r="B10" s="268" t="s">
        <v>94</v>
      </c>
      <c r="C10" s="269">
        <f>ROUND(D10*E10/10000,0)</f>
        <v>306</v>
      </c>
      <c r="D10" s="1035">
        <f>'数据-汇总表'!E6</f>
        <v>33991.919999999998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680</v>
      </c>
      <c r="D19" s="1039">
        <f>'数据-汇总表'!E3</f>
        <v>33991.919999999998</v>
      </c>
      <c r="E19" s="255">
        <f>'数据-取费表'!B31</f>
        <v>200</v>
      </c>
      <c r="F19" s="275"/>
      <c r="G19" s="1" t="s">
        <v>1071</v>
      </c>
    </row>
    <row r="20" spans="1:7" s="258" customFormat="1" ht="13.5" customHeight="1">
      <c r="A20" s="951" t="s">
        <v>1054</v>
      </c>
      <c r="B20" s="254" t="s">
        <v>104</v>
      </c>
      <c r="C20" s="276">
        <f>ROUND((C5+C19)*F20,0)</f>
        <v>426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2090</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66</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4343</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4343</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30541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12233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11218</v>
      </c>
      <c r="D34" s="261"/>
      <c r="E34" s="264"/>
      <c r="F34" s="301">
        <f>IF('数据-取费表'!B24=0,1,'数据-取费表'!N16)</f>
        <v>1</v>
      </c>
      <c r="G34" s="263" t="s">
        <v>116</v>
      </c>
    </row>
    <row r="35" spans="1:7" ht="13.5" customHeight="1">
      <c r="A35" s="954" t="s">
        <v>796</v>
      </c>
      <c r="B35" s="259" t="s">
        <v>60</v>
      </c>
      <c r="C35" s="264">
        <f>ROUND(C34*F35,0)</f>
        <v>337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510</v>
      </c>
      <c r="D37" s="261">
        <f>'数据-汇总表'!E3</f>
        <v>33991.919999999998</v>
      </c>
      <c r="E37" s="293">
        <f>'数据-取费表'!B35</f>
        <v>150</v>
      </c>
      <c r="F37" s="303"/>
      <c r="G37" s="305" t="s">
        <v>119</v>
      </c>
    </row>
    <row r="38" spans="1:7" ht="13.5" customHeight="1">
      <c r="A38" s="954" t="s">
        <v>799</v>
      </c>
      <c r="B38" s="259" t="s">
        <v>63</v>
      </c>
      <c r="C38" s="264">
        <f>ROUND(C34*F38,0)</f>
        <v>168</v>
      </c>
      <c r="D38" s="264"/>
      <c r="E38" s="264"/>
      <c r="F38" s="303">
        <f>'数据-取费表'!B36</f>
        <v>1.4999999999999999E-2</v>
      </c>
      <c r="G38" s="263" t="s">
        <v>117</v>
      </c>
    </row>
    <row r="39" spans="1:7" s="258" customFormat="1" ht="13.5" customHeight="1">
      <c r="A39" s="951" t="s">
        <v>783</v>
      </c>
      <c r="B39" s="254" t="s">
        <v>104</v>
      </c>
      <c r="C39" s="276">
        <f>ROUND(C33*F20,0)</f>
        <v>245</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593</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581</v>
      </c>
      <c r="D42" s="282"/>
      <c r="E42" s="282"/>
      <c r="F42" s="283"/>
      <c r="G42" s="3243" t="s">
        <v>121</v>
      </c>
    </row>
    <row r="43" spans="1:7" ht="13.5" customHeight="1">
      <c r="A43" s="954" t="s">
        <v>792</v>
      </c>
      <c r="B43" s="259" t="s">
        <v>1061</v>
      </c>
      <c r="C43" s="282">
        <f ca="1">ROUND(IF('数据-取费表'!B22&lt;=1,C39*F22*'数据-取费表'!B21/2,C39*(POWER((1+F22),'数据-取费表'!B21/2)-1)),0)</f>
        <v>12</v>
      </c>
      <c r="D43" s="282"/>
      <c r="E43" s="282"/>
      <c r="F43" s="283"/>
      <c r="G43" s="3244"/>
    </row>
    <row r="44" spans="1:7" ht="13.5" customHeight="1">
      <c r="A44" s="954" t="s">
        <v>793</v>
      </c>
      <c r="B44" s="259" t="s">
        <v>1063</v>
      </c>
      <c r="C44" s="282">
        <f ca="1">ROUND(IF('数据-取费表'!B22&lt;=1,C40*F22*'数据-取费表'!B21/2,C40*(POWER((1+F22),'数据-取费表'!B21/2)-1)),4)</f>
        <v>1E-3</v>
      </c>
      <c r="D44" s="282"/>
      <c r="E44" s="282"/>
      <c r="F44" s="283"/>
      <c r="G44" s="3245"/>
    </row>
    <row r="45" spans="1:7" s="258" customFormat="1" ht="13.5" customHeight="1">
      <c r="A45" s="951" t="s">
        <v>786</v>
      </c>
      <c r="B45" s="288" t="s">
        <v>112</v>
      </c>
      <c r="C45" s="289">
        <f>C46</f>
        <v>2496</v>
      </c>
      <c r="D45" s="279">
        <f>C47</f>
        <v>4.0000000000000001E-3</v>
      </c>
      <c r="E45" s="280" t="s">
        <v>129</v>
      </c>
      <c r="F45" s="290"/>
      <c r="G45" s="291" t="s">
        <v>1069</v>
      </c>
    </row>
    <row r="46" spans="1:7" s="258" customFormat="1" ht="13.5" customHeight="1">
      <c r="A46" s="954" t="s">
        <v>794</v>
      </c>
      <c r="B46" s="292" t="s">
        <v>1062</v>
      </c>
      <c r="C46" s="293">
        <f>ROUND((C33+C39)*F27,0)</f>
        <v>2496</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16890</v>
      </c>
      <c r="D49" s="276"/>
      <c r="E49" s="276"/>
      <c r="F49" s="308"/>
      <c r="G49" s="278" t="s">
        <v>1070</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14863</v>
      </c>
      <c r="D51" s="276"/>
      <c r="E51" s="276"/>
      <c r="F51" s="308"/>
      <c r="G51" s="278" t="s">
        <v>64</v>
      </c>
    </row>
    <row r="52" spans="1:7" s="252" customFormat="1" ht="16.5" thickBot="1">
      <c r="A52" s="309" t="s">
        <v>65</v>
      </c>
      <c r="B52" s="310"/>
      <c r="C52" s="311">
        <f ca="1">C31+C51</f>
        <v>45404</v>
      </c>
      <c r="D52" s="310"/>
      <c r="E52" s="310"/>
      <c r="F52" s="310"/>
      <c r="G52" s="312"/>
    </row>
    <row r="55" spans="1:7" ht="15">
      <c r="B55" s="314" t="s">
        <v>66</v>
      </c>
      <c r="C55" s="315"/>
    </row>
    <row r="56" spans="1:7">
      <c r="B56" s="317" t="s">
        <v>67</v>
      </c>
      <c r="C56" s="318">
        <f ca="1">ROUND(C51/C52,3)</f>
        <v>0.32700000000000001</v>
      </c>
    </row>
    <row r="57" spans="1:7">
      <c r="B57" s="317" t="s">
        <v>68</v>
      </c>
      <c r="C57" s="319">
        <f ca="1">1-C56</f>
        <v>0.67300000000000004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81" t="s">
        <v>156</v>
      </c>
      <c r="B1" s="3381"/>
      <c r="C1" s="3381"/>
      <c r="D1" s="3381"/>
      <c r="E1" s="3381"/>
      <c r="F1" s="33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2" t="s">
        <v>169</v>
      </c>
      <c r="B2" s="3382"/>
      <c r="C2" s="3382"/>
      <c r="D2" s="3382"/>
      <c r="E2" s="3382"/>
      <c r="F2" s="33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1" t="s">
        <v>868</v>
      </c>
      <c r="B1" s="338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43532</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8" zoomScaleNormal="88" zoomScaleSheetLayoutView="90" workbookViewId="0">
      <selection activeCell="C75" sqref="C7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37.22</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3102</v>
      </c>
      <c r="C2" s="1848" t="s">
        <v>1512</v>
      </c>
      <c r="D2" s="1848"/>
      <c r="E2" s="1849"/>
      <c r="F2" s="1850"/>
      <c r="G2" s="1851"/>
      <c r="H2" s="1843"/>
      <c r="I2" s="1843"/>
      <c r="J2" s="1843"/>
      <c r="K2" s="1844"/>
      <c r="L2" s="1843"/>
      <c r="M2" s="1843"/>
    </row>
    <row r="3" spans="1:37" ht="18" customHeight="1" thickBot="1">
      <c r="A3" s="1852" t="s">
        <v>1513</v>
      </c>
      <c r="B3" s="1853">
        <f ca="1">IF(ISERROR(B2*10000/F43),0,ROUND(B2*10000/F43,0))</f>
        <v>9864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207</v>
      </c>
      <c r="D5" s="1825" t="s">
        <v>1398</v>
      </c>
      <c r="E5" s="1296"/>
      <c r="F5" s="1297"/>
      <c r="G5" s="1854"/>
      <c r="H5" s="344">
        <v>1</v>
      </c>
      <c r="I5" s="345" t="s">
        <v>1397</v>
      </c>
      <c r="J5" s="1295">
        <f ca="1">J6+J10+J12</f>
        <v>0</v>
      </c>
      <c r="K5" s="1825" t="s">
        <v>1398</v>
      </c>
      <c r="L5" s="1296"/>
      <c r="M5" s="1297"/>
    </row>
    <row r="6" spans="1:37" ht="18" customHeight="1">
      <c r="A6" s="1294" t="s">
        <v>1032</v>
      </c>
      <c r="B6" s="3306" t="s">
        <v>1399</v>
      </c>
      <c r="C6" s="1299">
        <f ca="1">ROUND(F6*F8*F7*(1-F9)/10000,0)</f>
        <v>207</v>
      </c>
      <c r="D6" s="164" t="s">
        <v>3030</v>
      </c>
      <c r="E6" s="347" t="s">
        <v>1401</v>
      </c>
      <c r="F6" s="348">
        <f ca="1">INDIRECT("'数据-取费表'!u"&amp;$G$1)</f>
        <v>2</v>
      </c>
      <c r="G6" s="1854"/>
      <c r="H6" s="1294" t="s">
        <v>1032</v>
      </c>
      <c r="I6" s="3306" t="s">
        <v>1399</v>
      </c>
      <c r="J6" s="346">
        <f ca="1">ROUND(M6*M8*M7*(1-M9)/10000,0)</f>
        <v>0</v>
      </c>
      <c r="K6" s="164" t="s">
        <v>3029</v>
      </c>
      <c r="L6" s="347" t="s">
        <v>1401</v>
      </c>
      <c r="M6" s="348">
        <f ca="1">INDIRECT("'数据-取费表'!z"&amp;$G$1)</f>
        <v>0</v>
      </c>
    </row>
    <row r="7" spans="1:37" ht="18" customHeight="1">
      <c r="A7" s="1298"/>
      <c r="B7" s="3307"/>
      <c r="C7" s="1300"/>
      <c r="D7" s="352"/>
      <c r="E7" s="2966" t="s">
        <v>1402</v>
      </c>
      <c r="F7" s="348">
        <f ca="1">IF(INDIRECT("'数据-取费表'!ah"&amp;$G$1)="",INDIRECT("'数据-取费表'!k"&amp;$G$1),INDIRECT("'数据-取费表'!ah"&amp;$G$1))</f>
        <v>3144.8900000000003</v>
      </c>
      <c r="G7" s="1854"/>
      <c r="H7" s="349"/>
      <c r="I7" s="3307"/>
      <c r="J7" s="351"/>
      <c r="K7" s="352"/>
      <c r="L7" s="347" t="s">
        <v>1402</v>
      </c>
      <c r="M7" s="348">
        <f ca="1">F7</f>
        <v>3144.8900000000003</v>
      </c>
    </row>
    <row r="8" spans="1:37" ht="18" customHeight="1">
      <c r="A8" s="349"/>
      <c r="B8" s="3307"/>
      <c r="C8" s="351"/>
      <c r="D8" s="352"/>
      <c r="E8" s="347" t="s">
        <v>1403</v>
      </c>
      <c r="F8" s="348">
        <f ca="1">INDIRECT("'数据-取费表'!ai"&amp;$G$1)</f>
        <v>365</v>
      </c>
      <c r="G8" s="1854"/>
      <c r="H8" s="349"/>
      <c r="I8" s="3307"/>
      <c r="J8" s="351"/>
      <c r="K8" s="352"/>
      <c r="L8" s="347" t="s">
        <v>1403</v>
      </c>
      <c r="M8" s="348">
        <f ca="1">INDIRECT("'数据-取费表'!ai"&amp;$G$1)</f>
        <v>365</v>
      </c>
    </row>
    <row r="9" spans="1:37" ht="18" customHeight="1">
      <c r="A9" s="349"/>
      <c r="B9" s="3308"/>
      <c r="C9" s="351"/>
      <c r="D9" s="352"/>
      <c r="E9" s="347" t="s">
        <v>1404</v>
      </c>
      <c r="F9" s="357">
        <f ca="1">INDIRECT("'数据-取费表'!w"&amp;$G$1)</f>
        <v>0.1</v>
      </c>
      <c r="G9" s="1854"/>
      <c r="H9" s="349"/>
      <c r="I9" s="330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3247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1375</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1038</v>
      </c>
      <c r="D14" s="2954" t="s">
        <v>1414</v>
      </c>
      <c r="E14" s="2949"/>
      <c r="F14" s="364"/>
      <c r="G14" s="1854"/>
      <c r="H14" s="1204" t="s">
        <v>1032</v>
      </c>
      <c r="I14" s="347" t="s">
        <v>1415</v>
      </c>
      <c r="J14" s="24">
        <f ca="1">C29</f>
        <v>1563</v>
      </c>
      <c r="K14" s="2965"/>
      <c r="L14" s="982"/>
      <c r="M14" s="983"/>
    </row>
    <row r="15" spans="1:37" s="1861" customFormat="1" ht="18" customHeight="1" thickBot="1">
      <c r="A15" s="1204" t="s">
        <v>1033</v>
      </c>
      <c r="B15" s="347" t="s">
        <v>1416</v>
      </c>
      <c r="C15" s="24">
        <f ca="1">ROUND(C14*F15,0)</f>
        <v>31</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37</v>
      </c>
      <c r="K16" s="1340" t="s">
        <v>1421</v>
      </c>
      <c r="L16" s="2956"/>
      <c r="M16" s="1297"/>
    </row>
    <row r="17" spans="1:37" s="1861" customFormat="1" ht="18" customHeight="1">
      <c r="A17" s="1204" t="s">
        <v>1386</v>
      </c>
      <c r="B17" s="347" t="s">
        <v>1422</v>
      </c>
      <c r="C17" s="24">
        <f ca="1">ROUND(F17*(F43+INDIRECT("'数据-取费表'!S"&amp;$G$1))/10000,0)</f>
        <v>47</v>
      </c>
      <c r="D17" s="347" t="s">
        <v>1423</v>
      </c>
      <c r="E17" s="347" t="s">
        <v>1424</v>
      </c>
      <c r="F17" s="26">
        <f>'数据-取费表'!B35</f>
        <v>150</v>
      </c>
      <c r="G17" s="1857"/>
      <c r="H17" s="1204" t="s">
        <v>1032</v>
      </c>
      <c r="I17" s="347" t="s">
        <v>1425</v>
      </c>
      <c r="J17" s="24">
        <f ca="1">ROUND(IF(项目基本情况!B11="自然人",J5*M17,J18+J19+J20),1)</f>
        <v>13.7</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16</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1132</v>
      </c>
      <c r="D19" s="140" t="s">
        <v>1432</v>
      </c>
      <c r="E19" s="2963"/>
      <c r="F19" s="26"/>
      <c r="G19" s="1854"/>
      <c r="H19" s="1204" t="s">
        <v>1033</v>
      </c>
      <c r="I19" s="347" t="s">
        <v>1433</v>
      </c>
      <c r="J19" s="24">
        <f ca="1">IF(K19="按租金收入计税",ROUND(J5*M19,2),ROUND(C29*M19*0.7,2))</f>
        <v>13.13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23</v>
      </c>
      <c r="D20" s="369" t="s">
        <v>1436</v>
      </c>
      <c r="E20" s="347" t="s">
        <v>1418</v>
      </c>
      <c r="F20" s="367">
        <f>'数据-取费表'!B37</f>
        <v>0.02</v>
      </c>
      <c r="G20" s="1857"/>
      <c r="H20" s="1204" t="s">
        <v>1385</v>
      </c>
      <c r="I20" s="164" t="s">
        <v>1437</v>
      </c>
      <c r="J20" s="25">
        <f ca="1">ROUND(M20*M21/10000,2)</f>
        <v>0.55000000000000004</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366.54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23.4</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-37</v>
      </c>
      <c r="K25" s="1348" t="s">
        <v>1460</v>
      </c>
      <c r="L25" s="1349"/>
      <c r="M25" s="1350"/>
    </row>
    <row r="26" spans="1:37">
      <c r="A26" s="1204" t="s">
        <v>1031</v>
      </c>
      <c r="B26" s="347" t="s">
        <v>1461</v>
      </c>
      <c r="C26" s="24">
        <f ca="1">ROUND((C19+C20)*F26,0)</f>
        <v>231</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1563</v>
      </c>
      <c r="D29" s="1345"/>
      <c r="E29" s="1343"/>
      <c r="F29" s="1346"/>
      <c r="G29" s="1857"/>
      <c r="H29" s="380" t="s">
        <v>1030</v>
      </c>
      <c r="I29" s="381" t="s">
        <v>1475</v>
      </c>
      <c r="J29" s="382">
        <f ca="1">ROUND(J26/(1+F40)^F41,0)</f>
        <v>0</v>
      </c>
      <c r="K29" s="383" t="s">
        <v>1476</v>
      </c>
      <c r="L29" s="384"/>
      <c r="M29" s="385">
        <f ca="1">INDIRECT("'数据-取费表'!k"&amp;$G$1)</f>
        <v>3144.8900000000003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66</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36.4</v>
      </c>
      <c r="D31" s="2954" t="s">
        <v>1426</v>
      </c>
      <c r="E31" s="2952"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11.04</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24.84</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0.55000000000000004</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366.54</v>
      </c>
      <c r="G35" s="1854"/>
      <c r="H35" s="745"/>
      <c r="I35" s="1863"/>
      <c r="J35" s="1864"/>
      <c r="K35" s="1865"/>
      <c r="L35" s="1862"/>
      <c r="M35" s="1862"/>
    </row>
    <row r="36" spans="1:18" ht="18" customHeight="1">
      <c r="A36" s="1355" t="s">
        <v>1036</v>
      </c>
      <c r="B36" s="347" t="s">
        <v>1445</v>
      </c>
      <c r="C36" s="24">
        <f ca="1">ROUND(C29*F36,1)</f>
        <v>23.4</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2.1</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4.0999999999999996</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141</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3102</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9864</v>
      </c>
      <c r="D43" s="383" t="s">
        <v>1484</v>
      </c>
      <c r="E43" s="384" t="s">
        <v>1485</v>
      </c>
      <c r="F43" s="385">
        <f ca="1">INDIRECT("'数据-取费表'!k"&amp;$G$1)</f>
        <v>3144.8900000000003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-5731</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f ca="1">C40+J29</f>
        <v>3102</v>
      </c>
      <c r="R47" s="1889" t="s">
        <v>1525</v>
      </c>
    </row>
    <row r="48" spans="1:18" s="1845" customFormat="1" ht="28.5" thickBot="1">
      <c r="A48" s="1363" t="s">
        <v>1132</v>
      </c>
      <c r="B48" s="345" t="s">
        <v>1397</v>
      </c>
      <c r="C48" s="2962">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2011</v>
      </c>
      <c r="K49" s="1892" t="s">
        <v>1531</v>
      </c>
      <c r="L49" s="1896"/>
      <c r="O49" s="1897" t="s">
        <v>1039</v>
      </c>
      <c r="P49" s="1888" t="s">
        <v>1532</v>
      </c>
      <c r="Q49" s="1889">
        <f ca="1">C29</f>
        <v>1563</v>
      </c>
      <c r="R49" s="1889" t="s">
        <v>1525</v>
      </c>
    </row>
    <row r="50" spans="1:18" s="1845" customFormat="1" ht="13.5" thickBot="1">
      <c r="A50" s="1198"/>
      <c r="B50" s="1201"/>
      <c r="C50" s="1371"/>
      <c r="D50" s="1175"/>
      <c r="E50" s="1280" t="s">
        <v>1402</v>
      </c>
      <c r="F50" s="1281">
        <f ca="1">F7</f>
        <v>3144.8900000000003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555</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04" t="s">
        <v>1544</v>
      </c>
      <c r="L53" s="3305"/>
      <c r="O53" s="1887" t="s">
        <v>1043</v>
      </c>
      <c r="P53" s="1888" t="s">
        <v>1545</v>
      </c>
      <c r="Q53" s="1889">
        <f ca="1">Q47+Q48</f>
        <v>3102</v>
      </c>
      <c r="R53" s="1889" t="s">
        <v>1044</v>
      </c>
    </row>
    <row r="54" spans="1:18" s="1845" customFormat="1" ht="13.5"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1375</v>
      </c>
      <c r="D56" s="1917"/>
      <c r="E56" s="1918"/>
      <c r="F56" s="1910"/>
      <c r="I56" s="1919" t="s">
        <v>1550</v>
      </c>
      <c r="J56" s="1920" t="s">
        <v>3204</v>
      </c>
      <c r="K56" s="1890" t="s">
        <v>1551</v>
      </c>
      <c r="L56" s="1893" t="str">
        <f ca="1">IF(L48&lt;J51,"——",L48-J53)</f>
        <v>——</v>
      </c>
      <c r="O56" s="1887" t="s">
        <v>1037</v>
      </c>
      <c r="P56" s="1888" t="s">
        <v>1524</v>
      </c>
      <c r="Q56" s="1889">
        <f ca="1">C40+J29</f>
        <v>3102</v>
      </c>
      <c r="R56" s="1889" t="s">
        <v>1525</v>
      </c>
    </row>
    <row r="57" spans="1:18" s="1845" customFormat="1" ht="24.75" thickBot="1">
      <c r="A57" s="1921"/>
      <c r="B57" s="1172" t="s">
        <v>1474</v>
      </c>
      <c r="C57" s="282">
        <f ca="1">C29</f>
        <v>1563</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157</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131.80000000000001</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131.29</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0.55000000000000004</v>
      </c>
      <c r="D62" s="1187" t="s">
        <v>1438</v>
      </c>
      <c r="E62" s="1172" t="s">
        <v>1439</v>
      </c>
      <c r="F62" s="371">
        <f t="shared" si="0"/>
        <v>15</v>
      </c>
      <c r="I62" s="1932" t="s">
        <v>1566</v>
      </c>
      <c r="J62" s="1933" t="s">
        <v>1567</v>
      </c>
      <c r="K62" s="1933" t="s">
        <v>1568</v>
      </c>
      <c r="L62" s="1933" t="s">
        <v>1569</v>
      </c>
      <c r="M62" s="1934" t="s">
        <v>1570</v>
      </c>
      <c r="O62" s="1887" t="s">
        <v>1043</v>
      </c>
      <c r="P62" s="1888" t="s">
        <v>1545</v>
      </c>
      <c r="Q62" s="1889">
        <f ca="1">Q56+Q57</f>
        <v>3102</v>
      </c>
      <c r="R62" s="1889" t="s">
        <v>1044</v>
      </c>
    </row>
    <row r="63" spans="1:18" s="1845" customFormat="1" ht="13.5" thickBot="1">
      <c r="A63" s="372"/>
      <c r="B63" s="1178"/>
      <c r="C63" s="29"/>
      <c r="D63" s="1188"/>
      <c r="E63" s="1172" t="s">
        <v>1443</v>
      </c>
      <c r="F63" s="348">
        <f t="shared" ca="1" si="0"/>
        <v>366.54</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23.4</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2.1</v>
      </c>
      <c r="D65" s="1186" t="s">
        <v>1450</v>
      </c>
      <c r="E65" s="1172" t="s">
        <v>1418</v>
      </c>
      <c r="F65" s="376">
        <f t="shared" ca="1" si="0"/>
        <v>1.5E-3</v>
      </c>
      <c r="I65" s="1932" t="s">
        <v>1575</v>
      </c>
      <c r="J65" s="1933">
        <v>40</v>
      </c>
      <c r="K65" s="1933">
        <v>30</v>
      </c>
      <c r="L65" s="1933">
        <v>50</v>
      </c>
      <c r="M65" s="1935">
        <v>0.02</v>
      </c>
      <c r="O65" s="1887" t="s">
        <v>1037</v>
      </c>
      <c r="P65" s="1888" t="s">
        <v>1524</v>
      </c>
      <c r="Q65" s="1889">
        <f ca="1">C40+J29</f>
        <v>3102</v>
      </c>
      <c r="R65" s="1889" t="s">
        <v>1525</v>
      </c>
    </row>
    <row r="66" spans="1:18" s="1845" customFormat="1" ht="16.5"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-157</v>
      </c>
      <c r="D67" s="1185" t="s">
        <v>1460</v>
      </c>
      <c r="E67" s="1190"/>
      <c r="F67" s="1191"/>
      <c r="O67" s="1897" t="s">
        <v>1039</v>
      </c>
      <c r="P67" s="1888" t="s">
        <v>1558</v>
      </c>
      <c r="Q67" s="1936">
        <f ca="1">L51</f>
        <v>555</v>
      </c>
      <c r="R67" s="1889" t="s">
        <v>1578</v>
      </c>
    </row>
    <row r="68" spans="1:18" s="1845" customFormat="1" ht="16.5" thickBot="1">
      <c r="A68" s="1169" t="s">
        <v>1029</v>
      </c>
      <c r="B68" s="1170" t="s">
        <v>1481</v>
      </c>
      <c r="C68" s="346">
        <f ca="1">ROUND(C67*(1-((1+F70)/(1+F68))^F69)/(F68-F70),0)</f>
        <v>-2629</v>
      </c>
      <c r="D68" s="1187" t="s">
        <v>1465</v>
      </c>
      <c r="E68" s="1172" t="s">
        <v>1466</v>
      </c>
      <c r="F68" s="357">
        <f ca="1">F40</f>
        <v>0.05</v>
      </c>
      <c r="O68" s="1897" t="s">
        <v>1040</v>
      </c>
      <c r="P68" s="1937" t="s">
        <v>1579</v>
      </c>
      <c r="Q68" s="1889">
        <f ca="1">ROUND(Q69-Q70*Q71,0)</f>
        <v>31</v>
      </c>
      <c r="R68" s="1889" t="s">
        <v>1048</v>
      </c>
    </row>
    <row r="69" spans="1:18" s="1845" customFormat="1" ht="13.5" thickBot="1">
      <c r="A69" s="1173"/>
      <c r="B69" s="1174"/>
      <c r="C69" s="351"/>
      <c r="D69" s="1192" t="s">
        <v>1469</v>
      </c>
      <c r="E69" s="1172" t="s">
        <v>1470</v>
      </c>
      <c r="F69" s="379">
        <f ca="1">F41</f>
        <v>37.22</v>
      </c>
      <c r="O69" s="1897" t="s">
        <v>1045</v>
      </c>
      <c r="P69" s="1937" t="s">
        <v>1580</v>
      </c>
      <c r="Q69" s="1889">
        <f ca="1">C39</f>
        <v>141</v>
      </c>
      <c r="R69" s="1889" t="s">
        <v>1525</v>
      </c>
    </row>
    <row r="70" spans="1:18" s="1845" customFormat="1" ht="13.5" thickBot="1">
      <c r="A70" s="1176"/>
      <c r="B70" s="1177"/>
      <c r="C70" s="355"/>
      <c r="D70" s="1188"/>
      <c r="E70" s="1172" t="s">
        <v>1473</v>
      </c>
      <c r="F70" s="1278"/>
      <c r="O70" s="1897" t="s">
        <v>1046</v>
      </c>
      <c r="P70" s="1937" t="s">
        <v>1581</v>
      </c>
      <c r="Q70" s="1889">
        <f ca="1">C13</f>
        <v>1375</v>
      </c>
      <c r="R70" s="1889" t="s">
        <v>1525</v>
      </c>
    </row>
    <row r="71" spans="1:18" s="1845" customFormat="1" ht="13.5" thickBot="1">
      <c r="A71" s="1193" t="s">
        <v>1030</v>
      </c>
      <c r="B71" s="1194" t="s">
        <v>1483</v>
      </c>
      <c r="C71" s="382">
        <f ca="1">ROUND(C68*10000/F71,0)</f>
        <v>-8360</v>
      </c>
      <c r="D71" s="1195" t="s">
        <v>1484</v>
      </c>
      <c r="E71" s="1196" t="s">
        <v>1485</v>
      </c>
      <c r="F71" s="385">
        <f ca="1">F43</f>
        <v>3144.8900000000003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110</v>
      </c>
      <c r="D75" s="1845"/>
      <c r="E75" s="1845"/>
      <c r="F75" s="1845"/>
      <c r="K75" s="1871"/>
      <c r="L75" s="1845"/>
      <c r="O75" s="1887" t="s">
        <v>1043</v>
      </c>
      <c r="P75" s="1888" t="s">
        <v>1545</v>
      </c>
      <c r="Q75" s="1889">
        <f ca="1">Q65+Q66</f>
        <v>3102</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0.21999999999999997</v>
      </c>
    </row>
    <row r="80" spans="1:18">
      <c r="B80" s="386" t="s">
        <v>1507</v>
      </c>
      <c r="C80" s="318">
        <f ca="1">ROUND(C75/C39,3)</f>
        <v>0.78</v>
      </c>
    </row>
    <row r="81" spans="2:3">
      <c r="B81" s="314" t="s">
        <v>1508</v>
      </c>
      <c r="C81" s="282"/>
    </row>
    <row r="82" spans="2:3">
      <c r="B82" s="317" t="s">
        <v>1509</v>
      </c>
      <c r="C82" s="319">
        <f ca="1">1-C83</f>
        <v>0.55699999999999994</v>
      </c>
    </row>
    <row r="83" spans="2:3">
      <c r="B83" s="317" t="s">
        <v>1510</v>
      </c>
      <c r="C83" s="318">
        <f ca="1">ROUND(C13/C40,3)</f>
        <v>0.443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I47" sqref="I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t="s">
        <v>3211</v>
      </c>
      <c r="C1" s="1623" t="s">
        <v>2531</v>
      </c>
      <c r="D1" s="1624" t="s">
        <v>48</v>
      </c>
      <c r="E1" s="1625"/>
      <c r="F1" s="2590" t="s">
        <v>3255</v>
      </c>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f>IF(C2="——",IF(B37="元/平方米",ROUND(C39*D3/10000,0),ROUND(F3*C39/10000,0)),IF(B37="元/平方米",ROUND(C39*D3/10000,0),ROUND(F3*C39/10000,0))-D2)</f>
        <v>0</v>
      </c>
      <c r="C2" s="2592" t="s">
        <v>70</v>
      </c>
      <c r="D2" s="1127" t="e">
        <f ca="1">SUMIF(INDIRECT("'"&amp;F2&amp;"'"&amp;"!A:A"),"承租人权益价值",INDIRECT("'"&amp;F2&amp;"'"&amp;"!c:c"))</f>
        <v>#REF!</v>
      </c>
      <c r="E2" s="2593" t="s">
        <v>2329</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f>IF(AND(C2="——",B37="元/平方米"),C39,ROUND(B2*10000/D3,0))</f>
        <v>4473</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50" t="s">
        <v>2647</v>
      </c>
      <c r="D4" s="3263"/>
      <c r="E4" s="3264" t="s">
        <v>2648</v>
      </c>
      <c r="F4" s="3265"/>
      <c r="G4" s="3250" t="s">
        <v>2649</v>
      </c>
      <c r="H4" s="3263"/>
      <c r="I4" s="3250" t="s">
        <v>2650</v>
      </c>
      <c r="J4" s="3263"/>
      <c r="K4" s="610" t="s">
        <v>2651</v>
      </c>
      <c r="L4" s="1133"/>
      <c r="M4" s="1134"/>
      <c r="N4" s="1134"/>
      <c r="O4" s="1134"/>
      <c r="P4" s="3266" t="s">
        <v>2652</v>
      </c>
      <c r="Q4" s="3267"/>
      <c r="R4" s="3272" t="s">
        <v>2648</v>
      </c>
      <c r="S4" s="3273"/>
      <c r="T4" s="3272" t="s">
        <v>2649</v>
      </c>
      <c r="U4" s="3273"/>
      <c r="V4" s="3259" t="s">
        <v>2650</v>
      </c>
      <c r="W4" s="3259"/>
      <c r="X4" s="1816"/>
      <c r="Y4" s="3272" t="s">
        <v>2652</v>
      </c>
      <c r="Z4" s="3273"/>
      <c r="AA4" s="3260" t="s">
        <v>2648</v>
      </c>
      <c r="AB4" s="3261" t="s">
        <v>2649</v>
      </c>
      <c r="AC4" s="3260" t="s">
        <v>2650</v>
      </c>
    </row>
    <row r="5" spans="1:29" ht="15">
      <c r="A5" s="404"/>
      <c r="B5" s="405"/>
      <c r="C5" s="3280" t="s">
        <v>2543</v>
      </c>
      <c r="D5" s="3281"/>
      <c r="E5" s="3287" t="s">
        <v>2544</v>
      </c>
      <c r="F5" s="3288"/>
      <c r="G5" s="3280" t="s">
        <v>2545</v>
      </c>
      <c r="H5" s="3281"/>
      <c r="I5" s="3280" t="s">
        <v>2546</v>
      </c>
      <c r="J5" s="3281"/>
      <c r="K5" s="610"/>
      <c r="L5" s="1133"/>
      <c r="M5" s="1134"/>
      <c r="N5" s="1134"/>
      <c r="O5" s="1134"/>
      <c r="P5" s="3268"/>
      <c r="Q5" s="3269"/>
      <c r="R5" s="3274"/>
      <c r="S5" s="3275"/>
      <c r="T5" s="3274"/>
      <c r="U5" s="3275"/>
      <c r="V5" s="3259"/>
      <c r="W5" s="3259"/>
      <c r="X5" s="1816"/>
      <c r="Y5" s="3274"/>
      <c r="Z5" s="3275"/>
      <c r="AA5" s="3261"/>
      <c r="AB5" s="3261"/>
      <c r="AC5" s="3261"/>
    </row>
    <row r="6" spans="1:29" ht="15.75" thickBot="1">
      <c r="A6" s="406"/>
      <c r="B6" s="407"/>
      <c r="C6" s="3278" t="s">
        <v>2547</v>
      </c>
      <c r="D6" s="3279"/>
      <c r="E6" s="3285" t="s">
        <v>2547</v>
      </c>
      <c r="F6" s="3286"/>
      <c r="G6" s="3278" t="s">
        <v>2547</v>
      </c>
      <c r="H6" s="3279"/>
      <c r="I6" s="3278" t="s">
        <v>2547</v>
      </c>
      <c r="J6" s="3279"/>
      <c r="K6" s="610" t="s">
        <v>2548</v>
      </c>
      <c r="L6" s="1133"/>
      <c r="M6" s="1134"/>
      <c r="N6" s="1134"/>
      <c r="O6" s="1134"/>
      <c r="P6" s="3270"/>
      <c r="Q6" s="3271"/>
      <c r="R6" s="3274"/>
      <c r="S6" s="3275"/>
      <c r="T6" s="3276"/>
      <c r="U6" s="3277"/>
      <c r="V6" s="3259"/>
      <c r="W6" s="3259"/>
      <c r="X6" s="1816"/>
      <c r="Y6" s="3276"/>
      <c r="Z6" s="3277"/>
      <c r="AA6" s="3262"/>
      <c r="AB6" s="3262"/>
      <c r="AC6" s="3262"/>
    </row>
    <row r="7" spans="1:29" s="117" customFormat="1" ht="15.75" thickBot="1">
      <c r="A7" s="408" t="s">
        <v>2549</v>
      </c>
      <c r="B7" s="409"/>
      <c r="C7" s="410">
        <f>'数据-取费表'!B2</f>
        <v>43532</v>
      </c>
      <c r="D7" s="411">
        <v>100</v>
      </c>
      <c r="E7" s="412">
        <v>43525</v>
      </c>
      <c r="F7" s="413">
        <f>SUMIF(48:48,YEAR(E7)&amp;"-"&amp;MONTH(E7),49:49)</f>
        <v>100</v>
      </c>
      <c r="G7" s="412">
        <v>43525</v>
      </c>
      <c r="H7" s="411">
        <f>SUMIF(48:48,YEAR(G7)&amp;"-"&amp;MONTH(G7),49:49)</f>
        <v>100</v>
      </c>
      <c r="I7" s="412">
        <v>43525</v>
      </c>
      <c r="J7" s="411">
        <f>SUMIF(48:48,YEAR(I7)&amp;"-"&amp;MONTH(I7),49:49)</f>
        <v>100</v>
      </c>
      <c r="K7" s="611"/>
      <c r="L7" s="1135"/>
      <c r="M7" s="1136"/>
      <c r="N7" s="1136"/>
      <c r="O7" s="1136"/>
      <c r="P7" s="3282" t="s">
        <v>2550</v>
      </c>
      <c r="Q7" s="3284"/>
      <c r="R7" s="770" t="s">
        <v>17</v>
      </c>
      <c r="S7" s="771">
        <f t="shared" ref="S7:S14" si="0">F7</f>
        <v>100</v>
      </c>
      <c r="T7" s="770" t="s">
        <v>17</v>
      </c>
      <c r="U7" s="771">
        <f t="shared" ref="U7:U14" si="1">H7</f>
        <v>100</v>
      </c>
      <c r="V7" s="770" t="s">
        <v>17</v>
      </c>
      <c r="W7" s="771">
        <f t="shared" ref="W7:W14" si="2">J7</f>
        <v>100</v>
      </c>
      <c r="X7" s="772"/>
      <c r="Y7" s="3282" t="s">
        <v>2550</v>
      </c>
      <c r="Z7" s="3283"/>
      <c r="AA7" s="773">
        <f>D7/F7</f>
        <v>1</v>
      </c>
      <c r="AB7" s="773">
        <f>D7/H7</f>
        <v>1</v>
      </c>
      <c r="AC7" s="773">
        <f>D7/J7</f>
        <v>1</v>
      </c>
    </row>
    <row r="8" spans="1:29" s="117" customFormat="1" ht="15.75" thickBot="1">
      <c r="A8" s="408" t="s">
        <v>2551</v>
      </c>
      <c r="B8" s="409"/>
      <c r="C8" s="414" t="s">
        <v>2653</v>
      </c>
      <c r="D8" s="411">
        <v>100</v>
      </c>
      <c r="E8" s="3003" t="s">
        <v>3295</v>
      </c>
      <c r="F8" s="413">
        <f>SUMIF(51:51,E8,52:52)-SUMIF(51:51,C8,52:52)+100</f>
        <v>100</v>
      </c>
      <c r="G8" s="3003" t="s">
        <v>3295</v>
      </c>
      <c r="H8" s="411">
        <f>SUMIF(51:51,G8,52:52)-SUMIF(51:51,C8,52:52)+100</f>
        <v>100</v>
      </c>
      <c r="I8" s="3003" t="s">
        <v>3295</v>
      </c>
      <c r="J8" s="411">
        <f>SUMIF(51:51,I8,52:52)-SUMIF(51:51,C8,52:52)+100</f>
        <v>100</v>
      </c>
      <c r="K8" s="611"/>
      <c r="L8" s="1135"/>
      <c r="M8" s="1136"/>
      <c r="N8" s="1136"/>
      <c r="O8" s="1136"/>
      <c r="P8" s="3282" t="s">
        <v>2553</v>
      </c>
      <c r="Q8" s="3283"/>
      <c r="R8" s="770" t="s">
        <v>17</v>
      </c>
      <c r="S8" s="771">
        <f t="shared" si="0"/>
        <v>100</v>
      </c>
      <c r="T8" s="770" t="s">
        <v>17</v>
      </c>
      <c r="U8" s="771">
        <f t="shared" si="1"/>
        <v>100</v>
      </c>
      <c r="V8" s="770" t="s">
        <v>17</v>
      </c>
      <c r="W8" s="771">
        <f t="shared" si="2"/>
        <v>100</v>
      </c>
      <c r="X8" s="772"/>
      <c r="Y8" s="3282" t="s">
        <v>2553</v>
      </c>
      <c r="Z8" s="3283"/>
      <c r="AA8" s="773">
        <f t="shared" ref="AA8:AA36" si="3">D8/F8</f>
        <v>1</v>
      </c>
      <c r="AB8" s="773">
        <f t="shared" ref="AB8:AB36" si="4">D8/H8</f>
        <v>1</v>
      </c>
      <c r="AC8" s="773">
        <f t="shared" ref="AC8:AC36" si="5">D8/J8</f>
        <v>1</v>
      </c>
    </row>
    <row r="9" spans="1:29" s="117" customFormat="1">
      <c r="A9" s="68" t="s">
        <v>2554</v>
      </c>
      <c r="B9" s="640" t="s">
        <v>2555</v>
      </c>
      <c r="C9" s="3004" t="s">
        <v>3296</v>
      </c>
      <c r="D9" s="135">
        <v>100</v>
      </c>
      <c r="E9" s="3005" t="s">
        <v>3296</v>
      </c>
      <c r="F9" s="135">
        <f>SUMIF(53:53,E9,54:54)-SUMIF(53:53,C9,54:54)+100</f>
        <v>100</v>
      </c>
      <c r="G9" s="3006" t="s">
        <v>3296</v>
      </c>
      <c r="H9" s="135">
        <f>SUMIF(53:53,G9,54:54)-SUMIF(53:53,C9,54:54)+100</f>
        <v>100</v>
      </c>
      <c r="I9" s="3006" t="s">
        <v>3296</v>
      </c>
      <c r="J9" s="135">
        <f>SUMIF(53:53,I9,54:54)-SUMIF(53:53,C9,54:54)+100</f>
        <v>100</v>
      </c>
      <c r="K9" s="611"/>
      <c r="L9" s="1135"/>
      <c r="M9" s="1136"/>
      <c r="N9" s="1136"/>
      <c r="O9" s="1136"/>
      <c r="P9" s="3253" t="s">
        <v>2556</v>
      </c>
      <c r="Q9" s="1798" t="str">
        <f t="shared" ref="Q9:Q14" si="6">B9</f>
        <v>用途</v>
      </c>
      <c r="R9" s="770" t="s">
        <v>17</v>
      </c>
      <c r="S9" s="771">
        <f t="shared" si="0"/>
        <v>100</v>
      </c>
      <c r="T9" s="770" t="s">
        <v>17</v>
      </c>
      <c r="U9" s="771">
        <f t="shared" si="1"/>
        <v>100</v>
      </c>
      <c r="V9" s="770" t="s">
        <v>17</v>
      </c>
      <c r="W9" s="771">
        <f t="shared" si="2"/>
        <v>100</v>
      </c>
      <c r="X9" s="772"/>
      <c r="Y9" s="307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53"/>
      <c r="Q10" s="1798" t="str">
        <f t="shared" si="6"/>
        <v>土地使用年限（年）</v>
      </c>
      <c r="R10" s="770" t="s">
        <v>17</v>
      </c>
      <c r="S10" s="771">
        <f t="shared" si="0"/>
        <v>100</v>
      </c>
      <c r="T10" s="770" t="s">
        <v>17</v>
      </c>
      <c r="U10" s="771">
        <f t="shared" si="1"/>
        <v>100</v>
      </c>
      <c r="V10" s="770" t="s">
        <v>17</v>
      </c>
      <c r="W10" s="771">
        <f t="shared" si="2"/>
        <v>100</v>
      </c>
      <c r="X10" s="772"/>
      <c r="Y10" s="307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53"/>
      <c r="Q11" s="1798">
        <f t="shared" si="6"/>
        <v>111</v>
      </c>
      <c r="R11" s="770" t="s">
        <v>17</v>
      </c>
      <c r="S11" s="771">
        <f t="shared" si="0"/>
        <v>100</v>
      </c>
      <c r="T11" s="770" t="s">
        <v>17</v>
      </c>
      <c r="U11" s="771">
        <f t="shared" si="1"/>
        <v>100</v>
      </c>
      <c r="V11" s="770" t="s">
        <v>17</v>
      </c>
      <c r="W11" s="771">
        <f t="shared" si="2"/>
        <v>100</v>
      </c>
      <c r="X11" s="772"/>
      <c r="Y11" s="307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53"/>
      <c r="Q12" s="1798">
        <f t="shared" si="6"/>
        <v>111</v>
      </c>
      <c r="R12" s="770" t="s">
        <v>17</v>
      </c>
      <c r="S12" s="771">
        <f t="shared" si="0"/>
        <v>100</v>
      </c>
      <c r="T12" s="770" t="s">
        <v>17</v>
      </c>
      <c r="U12" s="771">
        <f t="shared" si="1"/>
        <v>100</v>
      </c>
      <c r="V12" s="770" t="s">
        <v>17</v>
      </c>
      <c r="W12" s="771">
        <f t="shared" si="2"/>
        <v>100</v>
      </c>
      <c r="X12" s="772"/>
      <c r="Y12" s="307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53"/>
      <c r="Q13" s="1798">
        <f t="shared" si="6"/>
        <v>111</v>
      </c>
      <c r="R13" s="770" t="s">
        <v>17</v>
      </c>
      <c r="S13" s="771">
        <f t="shared" si="0"/>
        <v>100</v>
      </c>
      <c r="T13" s="770" t="s">
        <v>17</v>
      </c>
      <c r="U13" s="771">
        <f t="shared" si="1"/>
        <v>100</v>
      </c>
      <c r="V13" s="770" t="s">
        <v>17</v>
      </c>
      <c r="W13" s="771">
        <f t="shared" si="2"/>
        <v>100</v>
      </c>
      <c r="X13" s="772"/>
      <c r="Y13" s="3077"/>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5" t="s">
        <v>2561</v>
      </c>
      <c r="Q14" s="1813" t="str">
        <f t="shared" si="6"/>
        <v>交通便捷度</v>
      </c>
      <c r="R14" s="774" t="s">
        <v>17</v>
      </c>
      <c r="S14" s="775">
        <f t="shared" si="0"/>
        <v>100</v>
      </c>
      <c r="T14" s="774" t="s">
        <v>17</v>
      </c>
      <c r="U14" s="775">
        <f t="shared" si="1"/>
        <v>100</v>
      </c>
      <c r="V14" s="774" t="s">
        <v>17</v>
      </c>
      <c r="W14" s="775">
        <f t="shared" si="2"/>
        <v>100</v>
      </c>
      <c r="X14" s="1816"/>
      <c r="Y14" s="3255" t="s">
        <v>2561</v>
      </c>
      <c r="Z14" s="1817" t="str">
        <f t="shared" si="7"/>
        <v>交通便捷度</v>
      </c>
      <c r="AA14" s="1814">
        <f t="shared" si="3"/>
        <v>1</v>
      </c>
      <c r="AB14" s="1814">
        <f t="shared" si="4"/>
        <v>1</v>
      </c>
      <c r="AC14" s="1814">
        <f t="shared" si="5"/>
        <v>1</v>
      </c>
    </row>
    <row r="15" spans="1:29" ht="15">
      <c r="A15" s="404"/>
      <c r="B15" s="647"/>
      <c r="C15" s="2989" t="s">
        <v>3297</v>
      </c>
      <c r="D15" s="448"/>
      <c r="E15" s="2989" t="s">
        <v>3297</v>
      </c>
      <c r="F15" s="449"/>
      <c r="G15" s="2989" t="s">
        <v>3297</v>
      </c>
      <c r="H15" s="450"/>
      <c r="I15" s="2989" t="s">
        <v>3297</v>
      </c>
      <c r="J15" s="448"/>
      <c r="K15" s="615"/>
      <c r="L15" s="1143"/>
      <c r="M15" s="1134"/>
      <c r="N15" s="1134"/>
      <c r="O15" s="1134"/>
      <c r="P15" s="3256"/>
      <c r="Q15" s="1813"/>
      <c r="R15" s="774"/>
      <c r="S15" s="775"/>
      <c r="T15" s="774"/>
      <c r="U15" s="775"/>
      <c r="V15" s="774"/>
      <c r="W15" s="775"/>
      <c r="X15" s="1816"/>
      <c r="Y15" s="3256"/>
      <c r="Z15" s="1817"/>
      <c r="AA15" s="1814">
        <v>1</v>
      </c>
      <c r="AB15" s="1814">
        <v>1</v>
      </c>
      <c r="AC15" s="1814">
        <v>1</v>
      </c>
    </row>
    <row r="16" spans="1:29" ht="42.75">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6"/>
      <c r="Q16" s="1813" t="str">
        <f>B16</f>
        <v>公共配套设施</v>
      </c>
      <c r="R16" s="774" t="s">
        <v>17</v>
      </c>
      <c r="S16" s="775">
        <f>F16</f>
        <v>100</v>
      </c>
      <c r="T16" s="774" t="s">
        <v>17</v>
      </c>
      <c r="U16" s="775">
        <f>H16</f>
        <v>100</v>
      </c>
      <c r="V16" s="774" t="s">
        <v>17</v>
      </c>
      <c r="W16" s="775">
        <f>J16</f>
        <v>100</v>
      </c>
      <c r="X16" s="1816"/>
      <c r="Y16" s="3256"/>
      <c r="Z16" s="1817" t="str">
        <f>Q16</f>
        <v>公共配套设施</v>
      </c>
      <c r="AA16" s="1814">
        <f t="shared" si="3"/>
        <v>1</v>
      </c>
      <c r="AB16" s="1814">
        <f t="shared" si="4"/>
        <v>1</v>
      </c>
      <c r="AC16" s="1814">
        <f t="shared" si="5"/>
        <v>1</v>
      </c>
    </row>
    <row r="17" spans="1:29" ht="15">
      <c r="A17" s="404"/>
      <c r="B17" s="632"/>
      <c r="C17" s="2992" t="s">
        <v>3297</v>
      </c>
      <c r="D17" s="448"/>
      <c r="E17" s="2989" t="s">
        <v>3297</v>
      </c>
      <c r="F17" s="449"/>
      <c r="G17" s="2989" t="s">
        <v>3297</v>
      </c>
      <c r="H17" s="448"/>
      <c r="I17" s="2989" t="s">
        <v>3297</v>
      </c>
      <c r="J17" s="448"/>
      <c r="K17" s="615"/>
      <c r="L17" s="1143"/>
      <c r="M17" s="1134"/>
      <c r="N17" s="1134"/>
      <c r="O17" s="1134"/>
      <c r="P17" s="3256"/>
      <c r="Q17" s="1813"/>
      <c r="R17" s="774"/>
      <c r="S17" s="775"/>
      <c r="T17" s="774"/>
      <c r="U17" s="775"/>
      <c r="V17" s="774"/>
      <c r="W17" s="775"/>
      <c r="X17" s="1816"/>
      <c r="Y17" s="3256"/>
      <c r="Z17" s="1817"/>
      <c r="AA17" s="1814">
        <v>1</v>
      </c>
      <c r="AB17" s="1814">
        <v>1</v>
      </c>
      <c r="AC17" s="1814">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6"/>
      <c r="Q18" s="1813" t="str">
        <f>B18</f>
        <v>基础设施水平</v>
      </c>
      <c r="R18" s="774" t="s">
        <v>17</v>
      </c>
      <c r="S18" s="775">
        <f>F18</f>
        <v>100</v>
      </c>
      <c r="T18" s="774" t="s">
        <v>17</v>
      </c>
      <c r="U18" s="775">
        <f>H18</f>
        <v>100</v>
      </c>
      <c r="V18" s="774" t="s">
        <v>17</v>
      </c>
      <c r="W18" s="775">
        <f>J18</f>
        <v>100</v>
      </c>
      <c r="X18" s="1816"/>
      <c r="Y18" s="3256"/>
      <c r="Z18" s="1817" t="str">
        <f>Q18</f>
        <v>基础设施水平</v>
      </c>
      <c r="AA18" s="1814">
        <f t="shared" ref="AA18" si="8">D18/F18</f>
        <v>1</v>
      </c>
      <c r="AB18" s="1814">
        <f t="shared" ref="AB18" si="9">D18/H18</f>
        <v>1</v>
      </c>
      <c r="AC18" s="1814">
        <f t="shared" ref="AC18" si="10">D18/J18</f>
        <v>1</v>
      </c>
    </row>
    <row r="19" spans="1:29" ht="15">
      <c r="A19" s="404"/>
      <c r="B19" s="633"/>
      <c r="C19" s="2992" t="s">
        <v>3298</v>
      </c>
      <c r="D19" s="450"/>
      <c r="E19" s="2992" t="s">
        <v>3298</v>
      </c>
      <c r="F19" s="453"/>
      <c r="G19" s="2992" t="s">
        <v>3298</v>
      </c>
      <c r="H19" s="448"/>
      <c r="I19" s="2989" t="s">
        <v>3298</v>
      </c>
      <c r="J19" s="448"/>
      <c r="K19" s="1386"/>
      <c r="L19" s="1143"/>
      <c r="M19" s="1134"/>
      <c r="N19" s="1134"/>
      <c r="O19" s="1134"/>
      <c r="P19" s="3256"/>
      <c r="Q19" s="1813"/>
      <c r="R19" s="774"/>
      <c r="S19" s="775"/>
      <c r="T19" s="774"/>
      <c r="U19" s="775"/>
      <c r="V19" s="774"/>
      <c r="W19" s="775"/>
      <c r="X19" s="1816"/>
      <c r="Y19" s="3256"/>
      <c r="Z19" s="1817"/>
      <c r="AA19" s="1814">
        <v>1</v>
      </c>
      <c r="AB19" s="1814">
        <v>1</v>
      </c>
      <c r="AC19" s="1814">
        <v>1</v>
      </c>
    </row>
    <row r="20" spans="1:29" ht="57">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6"/>
      <c r="Q20" s="1813" t="str">
        <f>B20</f>
        <v>自然及人文环境</v>
      </c>
      <c r="R20" s="774" t="s">
        <v>17</v>
      </c>
      <c r="S20" s="775">
        <f>F20</f>
        <v>100</v>
      </c>
      <c r="T20" s="774" t="s">
        <v>17</v>
      </c>
      <c r="U20" s="775">
        <f>H20</f>
        <v>100</v>
      </c>
      <c r="V20" s="774" t="s">
        <v>17</v>
      </c>
      <c r="W20" s="775">
        <f>J20</f>
        <v>100</v>
      </c>
      <c r="X20" s="1816"/>
      <c r="Y20" s="3256"/>
      <c r="Z20" s="1817" t="str">
        <f>Q20</f>
        <v>自然及人文环境</v>
      </c>
      <c r="AA20" s="1814">
        <f t="shared" si="3"/>
        <v>1</v>
      </c>
      <c r="AB20" s="1814">
        <f t="shared" si="4"/>
        <v>1</v>
      </c>
      <c r="AC20" s="1814">
        <f t="shared" si="5"/>
        <v>1</v>
      </c>
    </row>
    <row r="21" spans="1:29" ht="15">
      <c r="A21" s="404"/>
      <c r="B21" s="632"/>
      <c r="C21" s="2989" t="s">
        <v>3297</v>
      </c>
      <c r="D21" s="448"/>
      <c r="E21" s="2989" t="s">
        <v>3297</v>
      </c>
      <c r="F21" s="449"/>
      <c r="G21" s="2989" t="s">
        <v>3297</v>
      </c>
      <c r="H21" s="448"/>
      <c r="I21" s="2989" t="s">
        <v>3297</v>
      </c>
      <c r="J21" s="448"/>
      <c r="K21" s="615"/>
      <c r="L21" s="1143"/>
      <c r="M21" s="1134"/>
      <c r="N21" s="1134"/>
      <c r="O21" s="1134"/>
      <c r="P21" s="3256"/>
      <c r="Q21" s="1813"/>
      <c r="R21" s="774"/>
      <c r="S21" s="775"/>
      <c r="T21" s="774"/>
      <c r="U21" s="775"/>
      <c r="V21" s="774"/>
      <c r="W21" s="775"/>
      <c r="X21" s="1816"/>
      <c r="Y21" s="3256"/>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6"/>
      <c r="Q22" s="1813" t="str">
        <f>B22</f>
        <v>楼层</v>
      </c>
      <c r="R22" s="774" t="s">
        <v>17</v>
      </c>
      <c r="S22" s="775">
        <f>F22</f>
        <v>100</v>
      </c>
      <c r="T22" s="774" t="s">
        <v>17</v>
      </c>
      <c r="U22" s="775">
        <f>H22</f>
        <v>100</v>
      </c>
      <c r="V22" s="774" t="s">
        <v>17</v>
      </c>
      <c r="W22" s="775">
        <f>J22</f>
        <v>100</v>
      </c>
      <c r="X22" s="1816"/>
      <c r="Y22" s="325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6"/>
      <c r="Q23" s="1813">
        <f>B23</f>
        <v>111</v>
      </c>
      <c r="R23" s="774" t="s">
        <v>17</v>
      </c>
      <c r="S23" s="775">
        <f>F23</f>
        <v>100</v>
      </c>
      <c r="T23" s="774" t="s">
        <v>17</v>
      </c>
      <c r="U23" s="775">
        <f>H23</f>
        <v>100</v>
      </c>
      <c r="V23" s="774" t="s">
        <v>17</v>
      </c>
      <c r="W23" s="775">
        <f>J23</f>
        <v>100</v>
      </c>
      <c r="X23" s="1816"/>
      <c r="Y23" s="325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6"/>
      <c r="Q24" s="1813">
        <f t="shared" ref="Q24:Q36" si="11">B24</f>
        <v>111</v>
      </c>
      <c r="R24" s="774" t="s">
        <v>17</v>
      </c>
      <c r="S24" s="775">
        <f>F24</f>
        <v>100</v>
      </c>
      <c r="T24" s="774" t="s">
        <v>17</v>
      </c>
      <c r="U24" s="775">
        <f>H24</f>
        <v>100</v>
      </c>
      <c r="V24" s="774" t="s">
        <v>17</v>
      </c>
      <c r="W24" s="775">
        <f>J24</f>
        <v>100</v>
      </c>
      <c r="X24" s="1816"/>
      <c r="Y24" s="325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6"/>
      <c r="Q25" s="1798">
        <f t="shared" si="11"/>
        <v>111</v>
      </c>
      <c r="R25" s="770" t="s">
        <v>17</v>
      </c>
      <c r="S25" s="771">
        <f>F25</f>
        <v>100</v>
      </c>
      <c r="T25" s="770" t="s">
        <v>17</v>
      </c>
      <c r="U25" s="771">
        <f>H25</f>
        <v>100</v>
      </c>
      <c r="V25" s="770" t="s">
        <v>17</v>
      </c>
      <c r="W25" s="771">
        <f>J25</f>
        <v>100</v>
      </c>
      <c r="X25" s="772"/>
      <c r="Y25" s="3256"/>
      <c r="Z25" s="55">
        <f>Q25</f>
        <v>111</v>
      </c>
      <c r="AA25" s="1814">
        <f>D25/F25</f>
        <v>1</v>
      </c>
      <c r="AB25" s="1814">
        <f>D25/H25</f>
        <v>1</v>
      </c>
      <c r="AC25" s="1814">
        <f>D25/J25</f>
        <v>1</v>
      </c>
    </row>
    <row r="26" spans="1:29" ht="28.5">
      <c r="A26" s="652" t="s">
        <v>2564</v>
      </c>
      <c r="B26" s="70" t="s">
        <v>2713</v>
      </c>
      <c r="C26" s="2699" t="str">
        <f>B1</f>
        <v>车库</v>
      </c>
      <c r="D26" s="448">
        <v>100</v>
      </c>
      <c r="E26" s="2989" t="s">
        <v>3296</v>
      </c>
      <c r="F26" s="449">
        <f>SUMIF(79:79,E26,80:80)-SUMIF(79:79,C26,80:80)+100</f>
        <v>100</v>
      </c>
      <c r="G26" s="2989" t="s">
        <v>3296</v>
      </c>
      <c r="H26" s="448">
        <f>SUMIF(79:79,G26,80:80)-SUMIF(79:79,C26,80:80)+100</f>
        <v>100</v>
      </c>
      <c r="I26" s="2989" t="s">
        <v>3296</v>
      </c>
      <c r="J26" s="448">
        <f>SUMIF(79:79,I26,80:80)-SUMIF(79:79,C26,80:80)+100</f>
        <v>100</v>
      </c>
      <c r="K26" s="612"/>
      <c r="L26" s="1143"/>
      <c r="M26" s="1134"/>
      <c r="N26" s="1134"/>
      <c r="O26" s="1134"/>
      <c r="P26" s="3257"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8"/>
      <c r="Q27" s="776" t="str">
        <f t="shared" si="11"/>
        <v>项目停车位配比</v>
      </c>
      <c r="R27" s="777" t="s">
        <v>17</v>
      </c>
      <c r="S27" s="778">
        <f t="shared" si="12"/>
        <v>100</v>
      </c>
      <c r="T27" s="777" t="s">
        <v>17</v>
      </c>
      <c r="U27" s="778">
        <f t="shared" si="13"/>
        <v>100</v>
      </c>
      <c r="V27" s="777" t="s">
        <v>17</v>
      </c>
      <c r="W27" s="778">
        <f t="shared" si="14"/>
        <v>100</v>
      </c>
      <c r="X27" s="779"/>
      <c r="Y27" s="325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8"/>
      <c r="Q28" s="1813" t="str">
        <f t="shared" si="11"/>
        <v>公共部分装修</v>
      </c>
      <c r="R28" s="774" t="s">
        <v>17</v>
      </c>
      <c r="S28" s="775">
        <f t="shared" si="12"/>
        <v>100</v>
      </c>
      <c r="T28" s="774" t="s">
        <v>17</v>
      </c>
      <c r="U28" s="775">
        <f t="shared" si="13"/>
        <v>100</v>
      </c>
      <c r="V28" s="774" t="s">
        <v>17</v>
      </c>
      <c r="W28" s="775">
        <f t="shared" si="14"/>
        <v>100</v>
      </c>
      <c r="X28" s="1816"/>
      <c r="Y28" s="3258"/>
      <c r="Z28" s="1817" t="str">
        <f t="shared" si="15"/>
        <v>公共部分装修</v>
      </c>
      <c r="AA28" s="1814">
        <f t="shared" si="3"/>
        <v>1</v>
      </c>
      <c r="AB28" s="1814">
        <f t="shared" si="4"/>
        <v>1</v>
      </c>
      <c r="AC28" s="1814">
        <f t="shared" si="5"/>
        <v>1</v>
      </c>
    </row>
    <row r="29" spans="1:29" ht="15">
      <c r="A29" s="656"/>
      <c r="B29" s="654" t="s">
        <v>2716</v>
      </c>
      <c r="C29" s="3021">
        <f>'数据-取费表'!N6</f>
        <v>0.88</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43"/>
      <c r="M29" s="1134"/>
      <c r="N29" s="1134"/>
      <c r="O29" s="1134"/>
      <c r="P29" s="3258"/>
      <c r="Q29" s="1813" t="str">
        <f t="shared" si="11"/>
        <v>成新率</v>
      </c>
      <c r="R29" s="774" t="s">
        <v>17</v>
      </c>
      <c r="S29" s="775">
        <f t="shared" si="12"/>
        <v>100</v>
      </c>
      <c r="T29" s="774" t="s">
        <v>17</v>
      </c>
      <c r="U29" s="775">
        <f t="shared" si="13"/>
        <v>100</v>
      </c>
      <c r="V29" s="774" t="s">
        <v>17</v>
      </c>
      <c r="W29" s="775">
        <f t="shared" si="14"/>
        <v>100</v>
      </c>
      <c r="X29" s="1816"/>
      <c r="Y29" s="3258"/>
      <c r="Z29" s="1817" t="str">
        <f t="shared" si="15"/>
        <v>成新率</v>
      </c>
      <c r="AA29" s="1814">
        <f t="shared" si="3"/>
        <v>1</v>
      </c>
      <c r="AB29" s="1814">
        <f t="shared" si="4"/>
        <v>1</v>
      </c>
      <c r="AC29" s="1814">
        <f t="shared" si="5"/>
        <v>1</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8"/>
      <c r="Q30" s="1813" t="str">
        <f t="shared" si="11"/>
        <v>物业等级</v>
      </c>
      <c r="R30" s="774" t="s">
        <v>17</v>
      </c>
      <c r="S30" s="775">
        <f t="shared" si="12"/>
        <v>100</v>
      </c>
      <c r="T30" s="774" t="s">
        <v>17</v>
      </c>
      <c r="U30" s="775">
        <f t="shared" si="13"/>
        <v>100</v>
      </c>
      <c r="V30" s="774" t="s">
        <v>17</v>
      </c>
      <c r="W30" s="775">
        <f t="shared" si="14"/>
        <v>100</v>
      </c>
      <c r="X30" s="1816"/>
      <c r="Y30" s="3258"/>
      <c r="Z30" s="1817" t="str">
        <f t="shared" si="15"/>
        <v>物业等级</v>
      </c>
      <c r="AA30" s="1814">
        <f t="shared" si="3"/>
        <v>1</v>
      </c>
      <c r="AB30" s="1814">
        <f t="shared" si="4"/>
        <v>1</v>
      </c>
      <c r="AC30" s="1814">
        <f t="shared" si="5"/>
        <v>1</v>
      </c>
    </row>
    <row r="31" spans="1:29" s="117" customFormat="1" ht="15">
      <c r="A31" s="658"/>
      <c r="B31" s="654" t="s">
        <v>2718</v>
      </c>
      <c r="C31" s="469">
        <v>35</v>
      </c>
      <c r="D31" s="136">
        <v>100</v>
      </c>
      <c r="E31" s="469">
        <v>12</v>
      </c>
      <c r="F31" s="461">
        <f>LOOKUP(E31,91:91,92:92)-LOOKUP(C31,91:91,92:92)+100</f>
        <v>98</v>
      </c>
      <c r="G31" s="469">
        <v>25</v>
      </c>
      <c r="H31" s="435">
        <f>LOOKUP(G31,91:91,92:92)-LOOKUP(C31,91:91,92:92)+100</f>
        <v>98</v>
      </c>
      <c r="I31" s="469">
        <v>18</v>
      </c>
      <c r="J31" s="435">
        <f>LOOKUP(I31,91:91,92:92)-LOOKUP(C31,91:91,92:92)+100</f>
        <v>98</v>
      </c>
      <c r="K31" s="612"/>
      <c r="L31" s="1135"/>
      <c r="M31" s="1136"/>
      <c r="N31" s="1136"/>
      <c r="O31" s="1136"/>
      <c r="P31" s="3258"/>
      <c r="Q31" s="1798" t="str">
        <f t="shared" si="11"/>
        <v>停车位面积</v>
      </c>
      <c r="R31" s="770" t="s">
        <v>17</v>
      </c>
      <c r="S31" s="771">
        <f t="shared" si="12"/>
        <v>98</v>
      </c>
      <c r="T31" s="770" t="s">
        <v>17</v>
      </c>
      <c r="U31" s="771">
        <f t="shared" si="13"/>
        <v>98</v>
      </c>
      <c r="V31" s="770" t="s">
        <v>17</v>
      </c>
      <c r="W31" s="771">
        <f t="shared" si="14"/>
        <v>98</v>
      </c>
      <c r="X31" s="772"/>
      <c r="Y31" s="3258"/>
      <c r="Z31" s="55" t="str">
        <f t="shared" si="15"/>
        <v>停车位面积</v>
      </c>
      <c r="AA31" s="773">
        <f t="shared" si="3"/>
        <v>1.0204081632653061</v>
      </c>
      <c r="AB31" s="773">
        <f t="shared" si="4"/>
        <v>1.0204081632653061</v>
      </c>
      <c r="AC31" s="773">
        <f t="shared" si="5"/>
        <v>1.0204081632653061</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8" t="s">
        <v>2566</v>
      </c>
      <c r="Q32" s="1813" t="str">
        <f t="shared" si="11"/>
        <v>车位类型</v>
      </c>
      <c r="R32" s="774" t="s">
        <v>17</v>
      </c>
      <c r="S32" s="775">
        <f t="shared" si="12"/>
        <v>100</v>
      </c>
      <c r="T32" s="774" t="s">
        <v>17</v>
      </c>
      <c r="U32" s="775">
        <f t="shared" si="13"/>
        <v>100</v>
      </c>
      <c r="V32" s="774" t="s">
        <v>17</v>
      </c>
      <c r="W32" s="775">
        <f t="shared" si="14"/>
        <v>100</v>
      </c>
      <c r="X32" s="1816"/>
      <c r="Y32" s="325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8"/>
      <c r="Q33" s="1813" t="str">
        <f t="shared" si="11"/>
        <v>是否直接入户</v>
      </c>
      <c r="R33" s="774" t="s">
        <v>17</v>
      </c>
      <c r="S33" s="775">
        <f t="shared" si="12"/>
        <v>100</v>
      </c>
      <c r="T33" s="774" t="s">
        <v>17</v>
      </c>
      <c r="U33" s="775">
        <f t="shared" si="13"/>
        <v>100</v>
      </c>
      <c r="V33" s="774" t="s">
        <v>17</v>
      </c>
      <c r="W33" s="775">
        <f t="shared" si="14"/>
        <v>100</v>
      </c>
      <c r="X33" s="1816"/>
      <c r="Y33" s="325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8"/>
      <c r="Q34" s="1813">
        <f t="shared" si="11"/>
        <v>111</v>
      </c>
      <c r="R34" s="774" t="s">
        <v>17</v>
      </c>
      <c r="S34" s="775">
        <f t="shared" si="12"/>
        <v>100</v>
      </c>
      <c r="T34" s="774" t="s">
        <v>17</v>
      </c>
      <c r="U34" s="775">
        <f t="shared" si="13"/>
        <v>100</v>
      </c>
      <c r="V34" s="774" t="s">
        <v>17</v>
      </c>
      <c r="W34" s="775">
        <f t="shared" si="14"/>
        <v>100</v>
      </c>
      <c r="X34" s="1816"/>
      <c r="Y34" s="325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8"/>
      <c r="Q35" s="776">
        <f t="shared" si="11"/>
        <v>111</v>
      </c>
      <c r="R35" s="777" t="s">
        <v>17</v>
      </c>
      <c r="S35" s="778">
        <f t="shared" si="12"/>
        <v>100</v>
      </c>
      <c r="T35" s="777" t="s">
        <v>17</v>
      </c>
      <c r="U35" s="778">
        <f t="shared" si="13"/>
        <v>100</v>
      </c>
      <c r="V35" s="777" t="s">
        <v>17</v>
      </c>
      <c r="W35" s="778">
        <f t="shared" si="14"/>
        <v>100</v>
      </c>
      <c r="X35" s="779"/>
      <c r="Y35" s="325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8"/>
      <c r="Q36" s="1813">
        <f t="shared" si="11"/>
        <v>111</v>
      </c>
      <c r="R36" s="774" t="s">
        <v>17</v>
      </c>
      <c r="S36" s="775">
        <f t="shared" si="12"/>
        <v>100</v>
      </c>
      <c r="T36" s="774" t="s">
        <v>17</v>
      </c>
      <c r="U36" s="775">
        <f t="shared" si="13"/>
        <v>100</v>
      </c>
      <c r="V36" s="774" t="s">
        <v>17</v>
      </c>
      <c r="W36" s="775">
        <f t="shared" si="14"/>
        <v>100</v>
      </c>
      <c r="X36" s="1816"/>
      <c r="Y36" s="3258"/>
      <c r="Z36" s="1817">
        <f t="shared" si="15"/>
        <v>111</v>
      </c>
      <c r="AA36" s="1814">
        <f t="shared" si="3"/>
        <v>1</v>
      </c>
      <c r="AB36" s="1814">
        <f t="shared" si="4"/>
        <v>1</v>
      </c>
      <c r="AC36" s="1814">
        <f t="shared" si="5"/>
        <v>1</v>
      </c>
    </row>
    <row r="37" spans="1:29" ht="15">
      <c r="A37" s="479" t="s">
        <v>2721</v>
      </c>
      <c r="B37" s="2700" t="s">
        <v>3294</v>
      </c>
      <c r="C37" s="1410" t="s">
        <v>1</v>
      </c>
      <c r="D37" s="1411"/>
      <c r="E37" s="1412">
        <v>4583</v>
      </c>
      <c r="F37" s="1413"/>
      <c r="G37" s="1414">
        <v>4400</v>
      </c>
      <c r="H37" s="1415"/>
      <c r="I37" s="1412">
        <v>4167</v>
      </c>
      <c r="J37" s="1415"/>
      <c r="K37" s="619"/>
      <c r="L37" s="1146"/>
      <c r="M37" s="1147"/>
      <c r="N37" s="1134"/>
      <c r="O37" s="1147"/>
      <c r="P37" s="3253" t="str">
        <f>A37</f>
        <v>成交单价</v>
      </c>
      <c r="Q37" s="3253"/>
      <c r="R37" s="3290">
        <f>E37</f>
        <v>4583</v>
      </c>
      <c r="S37" s="3290"/>
      <c r="T37" s="3290">
        <f>G37</f>
        <v>4400</v>
      </c>
      <c r="U37" s="3290"/>
      <c r="V37" s="3290">
        <f>I37</f>
        <v>4167</v>
      </c>
      <c r="W37" s="3290"/>
      <c r="X37" s="759"/>
      <c r="Y37" s="781"/>
      <c r="Z37" s="759"/>
      <c r="AA37" s="759"/>
      <c r="AB37" s="759"/>
      <c r="AC37" s="759"/>
    </row>
    <row r="38" spans="1:29" ht="15.75" thickBot="1">
      <c r="A38" s="486" t="s">
        <v>2722</v>
      </c>
      <c r="B38" s="487" t="str">
        <f>B37</f>
        <v>元/平方米</v>
      </c>
      <c r="C38" s="1416">
        <f>R39</f>
        <v>4473</v>
      </c>
      <c r="D38" s="1417"/>
      <c r="E38" s="1418">
        <f>R38</f>
        <v>4677</v>
      </c>
      <c r="F38" s="1418"/>
      <c r="G38" s="1416">
        <f>T38</f>
        <v>4490</v>
      </c>
      <c r="H38" s="1417"/>
      <c r="I38" s="1418">
        <f>V38</f>
        <v>4252</v>
      </c>
      <c r="J38" s="1417"/>
      <c r="K38" s="620"/>
      <c r="L38" s="1146"/>
      <c r="M38" s="1147"/>
      <c r="N38" s="1147"/>
      <c r="O38" s="1147"/>
      <c r="P38" s="3253" t="str">
        <f>A38</f>
        <v>比较价值（元/平方米）</v>
      </c>
      <c r="Q38" s="3253"/>
      <c r="R38" s="3290">
        <f>IF(F1="售价",ROUND(PRODUCT(R37,AA7:AA36),0),ROUND(PRODUCT(R37,AA7:AA36),1))</f>
        <v>4677</v>
      </c>
      <c r="S38" s="3290"/>
      <c r="T38" s="3290">
        <f>IF(F1="售价",ROUND(PRODUCT(T37,AB7:AB36),0),ROUND(PRODUCT(T37,AB7:AB36),1))</f>
        <v>4490</v>
      </c>
      <c r="U38" s="3290"/>
      <c r="V38" s="3290">
        <f>IF(F1="售价",ROUND(PRODUCT(V37,AC7:AC36),0),ROUND(PRODUCT(V37,AC7:AC36),1))</f>
        <v>4252</v>
      </c>
      <c r="W38" s="3290"/>
      <c r="X38" s="759"/>
      <c r="Y38" s="759"/>
      <c r="Z38" s="759"/>
      <c r="AA38" s="759"/>
      <c r="AB38" s="759"/>
      <c r="AC38" s="759"/>
    </row>
    <row r="39" spans="1:29" ht="15.75" thickBot="1">
      <c r="A39" s="492" t="s">
        <v>2723</v>
      </c>
      <c r="B39" s="493"/>
      <c r="C39" s="1420">
        <f>R39</f>
        <v>4473</v>
      </c>
      <c r="D39" s="1420"/>
      <c r="E39" s="1420"/>
      <c r="F39" s="1420"/>
      <c r="G39" s="1420"/>
      <c r="H39" s="1420"/>
      <c r="I39" s="1420"/>
      <c r="J39" s="1420"/>
      <c r="K39" s="621"/>
      <c r="L39" s="1146"/>
      <c r="M39" s="1147"/>
      <c r="N39" s="1147"/>
      <c r="O39" s="1147"/>
      <c r="P39" s="3247" t="str">
        <f>A39</f>
        <v>估价对象XX用房的比较价值（楼面单价，元/平方米）</v>
      </c>
      <c r="Q39" s="3248"/>
      <c r="R39" s="3291">
        <f>IF(F1="售价",ROUND(AVERAGE(R38:V38),0),ROUND(AVERAGE(R38:V38),1))</f>
        <v>4473</v>
      </c>
      <c r="S39" s="3291"/>
      <c r="T39" s="3291"/>
      <c r="U39" s="3291"/>
      <c r="V39" s="3291"/>
      <c r="W39" s="329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f>IF(E37&lt;E38,E38/E37-1,E37/E38-1)</f>
        <v>2.0510582587824677E-2</v>
      </c>
      <c r="F42" s="500" t="str">
        <f>IF(OR(E42&gt;=0.3,E42&lt;=-0.3),"超过30%","")</f>
        <v/>
      </c>
      <c r="G42" s="499">
        <f>IF(G37&lt;G38,G38/G37-1,G37/G38-1)</f>
        <v>2.0454545454545503E-2</v>
      </c>
      <c r="H42" s="500" t="str">
        <f>IF(OR(G42&gt;=0.3,G42&lt;=-0.3),"超过30%","")</f>
        <v/>
      </c>
      <c r="I42" s="499">
        <f>IF(I37&lt;I38,I38/I37-1,I37/I38-1)</f>
        <v>2.0398368130549516E-2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f>IF(E38&lt;G38,G38/E38-1,E38/G38-1)</f>
        <v>4.1648106904231597E-2</v>
      </c>
      <c r="F43" s="500" t="str">
        <f>IF(OR(E43&gt;=0.2,E43&lt;=-0.2),"超过20%","")</f>
        <v/>
      </c>
      <c r="G43" s="499">
        <f>IF(G38&lt;I38,I38/G38-1,G38/I38-1)</f>
        <v>5.5973659454374491E-2</v>
      </c>
      <c r="H43" s="500" t="str">
        <f>IF(OR(G43&gt;=0.2,G43&lt;=-0.2),"超过20%","")</f>
        <v/>
      </c>
      <c r="I43" s="499">
        <f>IF(I38&lt;E38,E38/I38-1,I38/E38-1)</f>
        <v>9.9952963311382925E-2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f>IF(E37&lt;G37,G37/E37-1,E37/G37-1)</f>
        <v>4.1590909090909012E-2</v>
      </c>
      <c r="F44" s="500" t="str">
        <f>IF(OR(E44&gt;=0.3,E44&lt;=-0.3),"超过30%","")</f>
        <v/>
      </c>
      <c r="G44" s="499">
        <f>IF(G37&lt;I37,I37/G37-1,G37/I37-1)</f>
        <v>5.5915526757859269E-2</v>
      </c>
      <c r="H44" s="500" t="str">
        <f>IF(OR(G44&gt;=0.3,G44&lt;=-0.3),"超过30%","")</f>
        <v/>
      </c>
      <c r="I44" s="499">
        <f>IF(I37&lt;E37,E37/I37-1,I37/E37-1)</f>
        <v>9.9832013438924783E-2</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2730</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0(含)-30</v>
      </c>
      <c r="D90" s="578" t="str">
        <f t="shared" ref="D90:L90" si="21">D91&amp;"(含)"&amp;"-"&amp;E91</f>
        <v>30(含)-40</v>
      </c>
      <c r="E90" s="578" t="str">
        <f t="shared" si="21"/>
        <v>40(含)-50</v>
      </c>
      <c r="F90" s="578" t="str">
        <f t="shared" si="21"/>
        <v>50(含)-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30</v>
      </c>
      <c r="E91" s="595">
        <v>40</v>
      </c>
      <c r="F91" s="595">
        <v>50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J37" sqref="J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306" t="s">
        <v>1399</v>
      </c>
      <c r="C6" s="1299">
        <f ca="1">ROUND(F6*F8*F7*(1-F9)/10000,0)</f>
        <v>0</v>
      </c>
      <c r="D6" s="164" t="s">
        <v>3030</v>
      </c>
      <c r="E6" s="347" t="s">
        <v>1401</v>
      </c>
      <c r="F6" s="348">
        <f ca="1">INDIRECT("'数据-取费表'!u"&amp;$G$1)</f>
        <v>0.5</v>
      </c>
      <c r="G6" s="1854"/>
      <c r="H6" s="1294" t="s">
        <v>1032</v>
      </c>
      <c r="I6" s="3306" t="s">
        <v>1399</v>
      </c>
      <c r="J6" s="346">
        <f ca="1">ROUND(M6*M8*M7*(1-M9)/10000,0)</f>
        <v>0</v>
      </c>
      <c r="K6" s="164" t="s">
        <v>3029</v>
      </c>
      <c r="L6" s="347" t="s">
        <v>1401</v>
      </c>
      <c r="M6" s="348">
        <f ca="1">INDIRECT("'数据-取费表'!z"&amp;$G$1)</f>
        <v>0</v>
      </c>
    </row>
    <row r="7" spans="1:37" ht="18" customHeight="1">
      <c r="A7" s="1298"/>
      <c r="B7" s="3307"/>
      <c r="C7" s="1300"/>
      <c r="D7" s="352"/>
      <c r="E7" s="2966" t="s">
        <v>1402</v>
      </c>
      <c r="F7" s="348">
        <f ca="1">IF(INDIRECT("'数据-取费表'!ah"&amp;$G$1)="",INDIRECT("'数据-取费表'!k"&amp;$G$1),INDIRECT("'数据-取费表'!ah"&amp;$G$1))</f>
        <v>0</v>
      </c>
      <c r="G7" s="1854"/>
      <c r="H7" s="349"/>
      <c r="I7" s="3307"/>
      <c r="J7" s="351"/>
      <c r="K7" s="352"/>
      <c r="L7" s="347" t="s">
        <v>1402</v>
      </c>
      <c r="M7" s="348">
        <f ca="1">F7</f>
        <v>0</v>
      </c>
    </row>
    <row r="8" spans="1:37" ht="18" customHeight="1">
      <c r="A8" s="349"/>
      <c r="B8" s="3307"/>
      <c r="C8" s="351"/>
      <c r="D8" s="352"/>
      <c r="E8" s="347" t="s">
        <v>1403</v>
      </c>
      <c r="F8" s="348">
        <f ca="1">INDIRECT("'数据-取费表'!ai"&amp;$G$1)</f>
        <v>365</v>
      </c>
      <c r="G8" s="1854"/>
      <c r="H8" s="349"/>
      <c r="I8" s="3307"/>
      <c r="J8" s="351"/>
      <c r="K8" s="352"/>
      <c r="L8" s="347" t="s">
        <v>1403</v>
      </c>
      <c r="M8" s="348">
        <f ca="1">INDIRECT("'数据-取费表'!ai"&amp;$G$1)</f>
        <v>365</v>
      </c>
    </row>
    <row r="9" spans="1:37" ht="18" customHeight="1">
      <c r="A9" s="349"/>
      <c r="B9" s="3308"/>
      <c r="C9" s="351"/>
      <c r="D9" s="352"/>
      <c r="E9" s="347" t="s">
        <v>1404</v>
      </c>
      <c r="F9" s="357">
        <f ca="1">INDIRECT("'数据-取费表'!w"&amp;$G$1)</f>
        <v>0.1</v>
      </c>
      <c r="G9" s="1854"/>
      <c r="H9" s="349"/>
      <c r="I9" s="330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3237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2954" t="s">
        <v>1414</v>
      </c>
      <c r="E14" s="2949"/>
      <c r="F14" s="364"/>
      <c r="G14" s="1854"/>
      <c r="H14" s="1204" t="s">
        <v>1032</v>
      </c>
      <c r="I14" s="347" t="s">
        <v>1415</v>
      </c>
      <c r="J14" s="24">
        <f ca="1">C29</f>
        <v>0</v>
      </c>
      <c r="K14" s="296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2956"/>
      <c r="M16" s="1297"/>
    </row>
    <row r="17" spans="1:37" s="1861" customFormat="1" ht="18" customHeight="1">
      <c r="A17" s="1204" t="s">
        <v>1386</v>
      </c>
      <c r="B17" s="347" t="s">
        <v>1422</v>
      </c>
      <c r="C17" s="24">
        <f ca="1">ROUND(F17*(F43+INDIRECT("'数据-取费表'!S"&amp;$G$1))/10000,0)</f>
        <v>0</v>
      </c>
      <c r="D17" s="347" t="s">
        <v>1423</v>
      </c>
      <c r="E17" s="347" t="s">
        <v>1424</v>
      </c>
      <c r="F17" s="26">
        <f>'数据-取费表'!B35</f>
        <v>150</v>
      </c>
      <c r="G17" s="1857"/>
      <c r="H17" s="1204" t="s">
        <v>1032</v>
      </c>
      <c r="I17" s="347" t="s">
        <v>1425</v>
      </c>
      <c r="J17" s="24">
        <f ca="1">ROUND(IF(项目基本情况!B11="自然人",J5*M17,J18+J19+J20),1)</f>
        <v>0</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2963"/>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0</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0</v>
      </c>
      <c r="D31" s="2954" t="s">
        <v>1426</v>
      </c>
      <c r="E31" s="2952"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IF(项目基本情况!B11="自然人","——",ROUND(C5*F32/(1+'数据-取费表'!C42),2))</f>
        <v>0</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0</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0</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0</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f ca="1">C40+J29</f>
        <v>0</v>
      </c>
      <c r="R47" s="1889" t="s">
        <v>1525</v>
      </c>
    </row>
    <row r="48" spans="1:18" s="1845" customFormat="1" ht="28.5" thickBot="1">
      <c r="A48" s="1363" t="s">
        <v>1132</v>
      </c>
      <c r="B48" s="345" t="s">
        <v>1397</v>
      </c>
      <c r="C48" s="2962">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04" t="s">
        <v>1544</v>
      </c>
      <c r="L53" s="3305"/>
      <c r="O53" s="1887" t="s">
        <v>1043</v>
      </c>
      <c r="P53" s="1888" t="s">
        <v>1545</v>
      </c>
      <c r="Q53" s="1889">
        <f ca="1">Q47+Q48</f>
        <v>0</v>
      </c>
      <c r="R53" s="1889" t="s">
        <v>1044</v>
      </c>
    </row>
    <row r="54" spans="1:18" s="1845" customFormat="1" ht="13.5"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t="s">
        <v>3204</v>
      </c>
      <c r="K56" s="1890" t="s">
        <v>1551</v>
      </c>
      <c r="L56" s="1893" t="str">
        <f ca="1">IF(L48&lt;J51,"——",L48-J53)</f>
        <v>——</v>
      </c>
      <c r="O56" s="1887" t="s">
        <v>1037</v>
      </c>
      <c r="P56" s="1888" t="s">
        <v>1524</v>
      </c>
      <c r="Q56" s="1889">
        <f ca="1">C40+J29</f>
        <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0</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0</v>
      </c>
      <c r="D62" s="1187" t="s">
        <v>1438</v>
      </c>
      <c r="E62" s="1172" t="s">
        <v>1439</v>
      </c>
      <c r="F62" s="371">
        <f t="shared" si="0"/>
        <v>15</v>
      </c>
      <c r="I62" s="1932" t="s">
        <v>1566</v>
      </c>
      <c r="J62" s="1933" t="s">
        <v>1567</v>
      </c>
      <c r="K62" s="1933" t="s">
        <v>1568</v>
      </c>
      <c r="L62" s="1933" t="s">
        <v>1569</v>
      </c>
      <c r="M62" s="1934" t="s">
        <v>1570</v>
      </c>
      <c r="O62" s="1887" t="s">
        <v>1043</v>
      </c>
      <c r="P62" s="1888" t="s">
        <v>1545</v>
      </c>
      <c r="Q62" s="1889">
        <f ca="1">Q56+Q57</f>
        <v>0</v>
      </c>
      <c r="R62" s="1889" t="s">
        <v>1044</v>
      </c>
    </row>
    <row r="63" spans="1:18" s="1845" customFormat="1" ht="13.5" thickBot="1">
      <c r="A63" s="372"/>
      <c r="B63" s="1178"/>
      <c r="C63" s="29"/>
      <c r="D63" s="1188"/>
      <c r="E63" s="1172" t="s">
        <v>1443</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0</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1418</v>
      </c>
      <c r="F65" s="376">
        <f t="shared" ca="1" si="0"/>
        <v>1.5E-3</v>
      </c>
      <c r="I65" s="1932" t="s">
        <v>1575</v>
      </c>
      <c r="J65" s="1933">
        <v>40</v>
      </c>
      <c r="K65" s="1933">
        <v>30</v>
      </c>
      <c r="L65" s="1933">
        <v>50</v>
      </c>
      <c r="M65" s="1935">
        <v>0.02</v>
      </c>
      <c r="O65" s="1887" t="s">
        <v>1037</v>
      </c>
      <c r="P65" s="1888" t="s">
        <v>1524</v>
      </c>
      <c r="Q65" s="1889">
        <f ca="1">C40+J29</f>
        <v>0</v>
      </c>
      <c r="R65" s="1889" t="s">
        <v>1525</v>
      </c>
    </row>
    <row r="66" spans="1:18" s="1845" customFormat="1" ht="16.5"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f ca="1">ROUND(C67*(1-((1+F70)/(1+F68))^F69)/(F68-F70),0)</f>
        <v>0</v>
      </c>
      <c r="D68" s="1187" t="s">
        <v>1465</v>
      </c>
      <c r="E68" s="1172" t="s">
        <v>1466</v>
      </c>
      <c r="F68" s="357">
        <f ca="1">F40</f>
        <v>4.4999999999999998E-2</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53" t="str">
        <f>IF(项目基本情况!B9="房地产市场价值","估价结果一览表","结果表-2")</f>
        <v>结果表-2</v>
      </c>
      <c r="B1" s="3053"/>
      <c r="C1" s="3053"/>
      <c r="D1" s="3053"/>
      <c r="E1" s="3053"/>
      <c r="F1" s="3053"/>
      <c r="G1" s="3053"/>
      <c r="H1" s="3053"/>
      <c r="I1" s="3053"/>
    </row>
    <row r="2" spans="1:9" ht="30" customHeight="1" thickTop="1">
      <c r="A2" s="3054" t="s">
        <v>1637</v>
      </c>
      <c r="B2" s="3054" t="s">
        <v>1638</v>
      </c>
      <c r="C2" s="3054" t="s">
        <v>1639</v>
      </c>
      <c r="D2" s="3054" t="str">
        <f>结果表!D116</f>
        <v>出让国有建设用地使用权价值</v>
      </c>
      <c r="E2" s="3054"/>
      <c r="F2" s="3054" t="str">
        <f>结果表!F116</f>
        <v>在建建筑物价值</v>
      </c>
      <c r="G2" s="3054"/>
      <c r="H2" s="3054" t="str">
        <f>IF(项目基本情况!B9="房地产市场价值","房地产市场价值","房地产价值")</f>
        <v>房地产价值</v>
      </c>
      <c r="I2" s="3054"/>
    </row>
    <row r="3" spans="1:9" ht="15">
      <c r="A3" s="3048"/>
      <c r="B3" s="3048"/>
      <c r="C3" s="3048"/>
      <c r="D3" s="1047" t="s">
        <v>1634</v>
      </c>
      <c r="E3" s="1047" t="s">
        <v>1640</v>
      </c>
      <c r="F3" s="1047" t="s">
        <v>1634</v>
      </c>
      <c r="G3" s="1047" t="s">
        <v>1635</v>
      </c>
      <c r="H3" s="1047" t="s">
        <v>1634</v>
      </c>
      <c r="I3" s="1047" t="s">
        <v>1635</v>
      </c>
    </row>
    <row r="4" spans="1:9" ht="15">
      <c r="A4" s="1976" t="str">
        <f>项目基本情况!S2</f>
        <v>房地产</v>
      </c>
      <c r="B4" s="1047">
        <f>项目基本情况!C17</f>
        <v>33991.919999999998</v>
      </c>
      <c r="C4" s="1047">
        <f>项目基本情况!C18</f>
        <v>3961.76</v>
      </c>
      <c r="D4" s="1047">
        <f ca="1">结果表!D118</f>
        <v>24129</v>
      </c>
      <c r="E4" s="1047">
        <f ca="1">结果表!E118</f>
        <v>7822</v>
      </c>
      <c r="F4" s="1047">
        <f ca="1">结果表!F118</f>
        <v>28669</v>
      </c>
      <c r="G4" s="1047">
        <f ca="1">结果表!G118</f>
        <v>9294</v>
      </c>
      <c r="H4" s="1047">
        <f ca="1">结果表!H118</f>
        <v>52798</v>
      </c>
      <c r="I4" s="1047">
        <f ca="1">结果表!I118</f>
        <v>17116</v>
      </c>
    </row>
    <row r="5" spans="1:9" ht="30" customHeight="1">
      <c r="A5" s="3048" t="s">
        <v>1636</v>
      </c>
      <c r="B5" s="3048"/>
      <c r="C5" s="3048"/>
      <c r="D5" s="3049" t="str">
        <f ca="1">结果表!D119</f>
        <v>贰亿肆仟壹佰贰拾玖万元整</v>
      </c>
      <c r="E5" s="3049"/>
      <c r="F5" s="3049" t="str">
        <f ca="1">结果表!F119</f>
        <v>贰亿捌仟陆佰陆拾玖万元整</v>
      </c>
      <c r="G5" s="3049"/>
      <c r="H5" s="3049" t="str">
        <f ca="1">结果表!H119</f>
        <v>伍亿贰仟柒佰玖拾捌万元整</v>
      </c>
      <c r="I5" s="3049"/>
    </row>
    <row r="6" spans="1:9" ht="15.75">
      <c r="A6" s="3047" t="str">
        <f>结果表!A120</f>
        <v>估价师知悉的法定优先受偿款</v>
      </c>
      <c r="B6" s="3047"/>
      <c r="C6" s="3047"/>
      <c r="D6" s="3047">
        <f>结果表!D120</f>
        <v>0</v>
      </c>
      <c r="E6" s="3047"/>
      <c r="F6" s="3047"/>
      <c r="G6" s="3047"/>
      <c r="H6" s="3047"/>
      <c r="I6" s="3047"/>
    </row>
    <row r="7" spans="1:9" ht="15">
      <c r="A7" s="3048" t="s">
        <v>1636</v>
      </c>
      <c r="B7" s="3048"/>
      <c r="C7" s="3048"/>
      <c r="D7" s="3050" t="str">
        <f>结果表!D121</f>
        <v>零元整</v>
      </c>
      <c r="E7" s="3051"/>
      <c r="F7" s="3051"/>
      <c r="G7" s="3051"/>
      <c r="H7" s="3051"/>
      <c r="I7" s="3052"/>
    </row>
    <row r="8" spans="1:9" ht="15.75">
      <c r="A8" s="3047" t="str">
        <f>结果表!A122</f>
        <v>房地产抵押价值</v>
      </c>
      <c r="B8" s="3047"/>
      <c r="C8" s="3047"/>
      <c r="D8" s="3047">
        <f ca="1">结果表!D122</f>
        <v>52798</v>
      </c>
      <c r="E8" s="3047"/>
      <c r="F8" s="3047"/>
      <c r="G8" s="3047"/>
      <c r="H8" s="3047"/>
      <c r="I8" s="3047"/>
    </row>
    <row r="9" spans="1:9" ht="15">
      <c r="A9" s="3048" t="s">
        <v>1636</v>
      </c>
      <c r="B9" s="3048"/>
      <c r="C9" s="3048"/>
      <c r="D9" s="3049" t="str">
        <f ca="1">结果表!D123</f>
        <v>伍亿贰仟柒佰玖拾捌万元整</v>
      </c>
      <c r="E9" s="3049"/>
      <c r="F9" s="3049"/>
      <c r="G9" s="3049"/>
      <c r="H9" s="3049"/>
      <c r="I9" s="3049"/>
    </row>
    <row r="10" spans="1:9" ht="15.75">
      <c r="A10" s="3047" t="str">
        <f>结果表!A124</f>
        <v/>
      </c>
      <c r="B10" s="3047"/>
      <c r="C10" s="3047"/>
      <c r="D10" s="3047" t="str">
        <f>结果表!D124</f>
        <v>——</v>
      </c>
      <c r="E10" s="3047"/>
      <c r="F10" s="3047"/>
      <c r="G10" s="3047"/>
      <c r="H10" s="3047"/>
      <c r="I10" s="3047"/>
    </row>
    <row r="11" spans="1:9" ht="15">
      <c r="A11" s="3048" t="s">
        <v>1636</v>
      </c>
      <c r="B11" s="3048"/>
      <c r="C11" s="3048"/>
      <c r="D11" s="3049" t="e">
        <f>结果表!D125</f>
        <v>#VALUE!</v>
      </c>
      <c r="E11" s="3049"/>
      <c r="F11" s="3049"/>
      <c r="G11" s="3049"/>
      <c r="H11" s="3049"/>
      <c r="I11" s="3049"/>
    </row>
    <row r="12" spans="1:9" ht="15.75">
      <c r="A12" s="3047" t="str">
        <f>结果表!A126</f>
        <v/>
      </c>
      <c r="B12" s="3047"/>
      <c r="C12" s="3047"/>
      <c r="D12" s="3047" t="str">
        <f>结果表!D126</f>
        <v>——</v>
      </c>
      <c r="E12" s="3047"/>
      <c r="F12" s="3047"/>
      <c r="G12" s="3047"/>
      <c r="H12" s="3047"/>
      <c r="I12" s="3047"/>
    </row>
    <row r="13" spans="1:9" ht="15.75" thickBot="1">
      <c r="A13" s="3044" t="s">
        <v>1636</v>
      </c>
      <c r="B13" s="3044"/>
      <c r="C13" s="3044"/>
      <c r="D13" s="3045" t="e">
        <f>结果表!D127</f>
        <v>#VALUE!</v>
      </c>
      <c r="E13" s="3045"/>
      <c r="F13" s="3045"/>
      <c r="G13" s="3045"/>
      <c r="H13" s="3045"/>
      <c r="I13" s="3045"/>
    </row>
    <row r="14" spans="1:9" ht="15" thickTop="1">
      <c r="A14" s="3046" t="s">
        <v>1641</v>
      </c>
      <c r="B14" s="3046"/>
      <c r="C14" s="3046"/>
      <c r="D14" s="3046"/>
      <c r="E14" s="3046"/>
      <c r="F14" s="3046"/>
      <c r="G14" s="3046"/>
      <c r="H14" s="3046"/>
      <c r="I14" s="3046"/>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D26" sqref="D26"/>
    </sheetView>
  </sheetViews>
  <sheetFormatPr defaultRowHeight="13.5"/>
  <cols>
    <col min="1" max="1" width="21.125" customWidth="1"/>
    <col min="6" max="6" width="10.5" customWidth="1"/>
    <col min="8" max="8" width="11.5" customWidth="1"/>
    <col min="9" max="9" width="10.5" customWidth="1"/>
    <col min="10" max="10" width="10.625" customWidth="1"/>
    <col min="11" max="11" width="10" customWidth="1"/>
    <col min="12" max="12" width="10.375" customWidth="1"/>
  </cols>
  <sheetData>
    <row r="1" spans="1:15">
      <c r="A1" s="1638" t="s">
        <v>3136</v>
      </c>
      <c r="B1" s="1638" t="s">
        <v>3137</v>
      </c>
      <c r="C1" s="1638" t="s">
        <v>3138</v>
      </c>
      <c r="D1" s="1638" t="s">
        <v>3139</v>
      </c>
      <c r="E1" s="1638" t="s">
        <v>3140</v>
      </c>
      <c r="F1" s="1638" t="s">
        <v>3141</v>
      </c>
      <c r="G1" s="1638" t="s">
        <v>3142</v>
      </c>
      <c r="H1" s="1638" t="s">
        <v>3143</v>
      </c>
      <c r="I1" s="1638" t="s">
        <v>3144</v>
      </c>
      <c r="J1" s="1638" t="s">
        <v>3145</v>
      </c>
      <c r="K1" s="1638" t="s">
        <v>3146</v>
      </c>
      <c r="L1" s="1638" t="s">
        <v>3147</v>
      </c>
      <c r="M1" s="1638" t="s">
        <v>3148</v>
      </c>
      <c r="N1" s="1638"/>
      <c r="O1" s="1638"/>
    </row>
    <row r="2" spans="1:15">
      <c r="A2" s="1638" t="s">
        <v>3149</v>
      </c>
      <c r="B2" s="1638" t="s">
        <v>3150</v>
      </c>
      <c r="C2" s="1638" t="s">
        <v>3151</v>
      </c>
      <c r="D2" s="1638">
        <v>22250.3</v>
      </c>
      <c r="E2" s="1638">
        <v>33375.449999999997</v>
      </c>
      <c r="F2" s="1638" t="s">
        <v>3152</v>
      </c>
      <c r="G2" s="1638" t="s">
        <v>3153</v>
      </c>
      <c r="H2" s="1638" t="s">
        <v>3154</v>
      </c>
      <c r="I2" s="1638" t="s">
        <v>1327</v>
      </c>
      <c r="J2" s="1638">
        <v>19457.88</v>
      </c>
      <c r="K2" s="1638">
        <v>5830</v>
      </c>
      <c r="L2" s="1638" t="s">
        <v>1327</v>
      </c>
      <c r="M2" s="1638" t="s">
        <v>3155</v>
      </c>
      <c r="N2" s="1638"/>
      <c r="O2" s="1638"/>
    </row>
    <row r="3" spans="1:15">
      <c r="A3" s="2983" t="s">
        <v>3156</v>
      </c>
      <c r="B3" s="2983" t="s">
        <v>3150</v>
      </c>
      <c r="C3" s="2983" t="s">
        <v>3151</v>
      </c>
      <c r="D3" s="2983">
        <v>17099.400000000001</v>
      </c>
      <c r="E3" s="2983">
        <v>42748.5</v>
      </c>
      <c r="F3" s="2983" t="s">
        <v>3157</v>
      </c>
      <c r="G3" s="2983" t="s">
        <v>3153</v>
      </c>
      <c r="H3" s="2983" t="s">
        <v>3158</v>
      </c>
      <c r="I3" s="2983">
        <v>8164.96</v>
      </c>
      <c r="J3" s="2983">
        <v>8451.3700000000008</v>
      </c>
      <c r="K3" s="2983">
        <v>1977</v>
      </c>
      <c r="L3" s="2983">
        <v>3.51</v>
      </c>
      <c r="M3" s="2983" t="s">
        <v>3159</v>
      </c>
      <c r="N3" s="2983"/>
      <c r="O3" s="2983"/>
    </row>
    <row r="4" spans="1:15">
      <c r="A4" s="2983" t="s">
        <v>3156</v>
      </c>
      <c r="B4" s="2983" t="s">
        <v>3150</v>
      </c>
      <c r="C4" s="2983" t="s">
        <v>3151</v>
      </c>
      <c r="D4" s="2983">
        <v>18658.7</v>
      </c>
      <c r="E4" s="2983">
        <v>37317.4</v>
      </c>
      <c r="F4" s="2983" t="s">
        <v>3160</v>
      </c>
      <c r="G4" s="2983" t="s">
        <v>3153</v>
      </c>
      <c r="H4" s="2983" t="s">
        <v>3158</v>
      </c>
      <c r="I4" s="2983">
        <v>7687.38</v>
      </c>
      <c r="J4" s="2983">
        <v>7963.52</v>
      </c>
      <c r="K4" s="2983">
        <v>2134</v>
      </c>
      <c r="L4" s="2983">
        <v>3.59</v>
      </c>
      <c r="M4" s="2983" t="s">
        <v>3159</v>
      </c>
      <c r="N4" s="2983"/>
      <c r="O4" s="2983"/>
    </row>
    <row r="5" spans="1:15">
      <c r="A5" s="1638" t="s">
        <v>3161</v>
      </c>
      <c r="B5" s="1638" t="s">
        <v>3150</v>
      </c>
      <c r="C5" s="1638" t="s">
        <v>3151</v>
      </c>
      <c r="D5" s="1638">
        <v>2953.7</v>
      </c>
      <c r="E5" s="1638">
        <v>2362.96</v>
      </c>
      <c r="F5" s="1638" t="s">
        <v>3162</v>
      </c>
      <c r="G5" s="1638" t="s">
        <v>3153</v>
      </c>
      <c r="H5" s="1638" t="s">
        <v>3163</v>
      </c>
      <c r="I5" s="1638">
        <v>1200</v>
      </c>
      <c r="J5" s="1638">
        <v>1256</v>
      </c>
      <c r="K5" s="1638">
        <v>5315.36</v>
      </c>
      <c r="L5" s="1638">
        <v>4.67</v>
      </c>
      <c r="M5" s="1638" t="s">
        <v>3164</v>
      </c>
      <c r="N5" s="1638"/>
      <c r="O5" s="1638"/>
    </row>
    <row r="6" spans="1:15">
      <c r="A6" s="2983" t="s">
        <v>3165</v>
      </c>
      <c r="B6" s="2983" t="s">
        <v>3150</v>
      </c>
      <c r="C6" s="2983" t="s">
        <v>3151</v>
      </c>
      <c r="D6" s="2983">
        <v>33337.599999999999</v>
      </c>
      <c r="E6" s="2983">
        <v>166688</v>
      </c>
      <c r="F6" s="2983" t="s">
        <v>3166</v>
      </c>
      <c r="G6" s="2983" t="s">
        <v>3153</v>
      </c>
      <c r="H6" s="2983" t="s">
        <v>3167</v>
      </c>
      <c r="I6" s="2983" t="s">
        <v>1327</v>
      </c>
      <c r="J6" s="2983">
        <v>38421.58</v>
      </c>
      <c r="K6" s="2983">
        <v>2305</v>
      </c>
      <c r="L6" s="2983" t="s">
        <v>1327</v>
      </c>
      <c r="M6" s="2983" t="s">
        <v>3168</v>
      </c>
      <c r="N6" s="2983"/>
      <c r="O6" s="2983"/>
    </row>
    <row r="7" spans="1:15">
      <c r="A7" s="1638" t="s">
        <v>3169</v>
      </c>
      <c r="B7" s="1638" t="s">
        <v>3150</v>
      </c>
      <c r="C7" s="1638" t="s">
        <v>3151</v>
      </c>
      <c r="D7" s="1638">
        <v>80571.39</v>
      </c>
      <c r="E7" s="1638">
        <v>120857.1</v>
      </c>
      <c r="F7" s="1638" t="s">
        <v>3170</v>
      </c>
      <c r="G7" s="1638" t="s">
        <v>3153</v>
      </c>
      <c r="H7" s="1638" t="s">
        <v>3171</v>
      </c>
      <c r="I7" s="1638">
        <v>540</v>
      </c>
      <c r="J7" s="1638">
        <v>562</v>
      </c>
      <c r="K7" s="1638">
        <v>46.5</v>
      </c>
      <c r="L7" s="1638">
        <v>4.07</v>
      </c>
      <c r="M7" s="1638" t="s">
        <v>3172</v>
      </c>
      <c r="N7" s="1638"/>
      <c r="O7" s="1638"/>
    </row>
    <row r="8" spans="1:15">
      <c r="A8" s="1638" t="s">
        <v>3173</v>
      </c>
      <c r="B8" s="1638" t="s">
        <v>3150</v>
      </c>
      <c r="C8" s="1638" t="s">
        <v>3151</v>
      </c>
      <c r="D8" s="1638">
        <v>93318.47</v>
      </c>
      <c r="E8" s="1638">
        <v>139977.70000000001</v>
      </c>
      <c r="F8" s="1638" t="s">
        <v>3170</v>
      </c>
      <c r="G8" s="1638" t="s">
        <v>3153</v>
      </c>
      <c r="H8" s="1638" t="s">
        <v>3171</v>
      </c>
      <c r="I8" s="1638">
        <v>1660</v>
      </c>
      <c r="J8" s="1638">
        <v>1718</v>
      </c>
      <c r="K8" s="1638">
        <v>122.73</v>
      </c>
      <c r="L8" s="1638">
        <v>3.49</v>
      </c>
      <c r="M8" s="1638" t="s">
        <v>3172</v>
      </c>
      <c r="N8" s="1638"/>
      <c r="O8" s="1638"/>
    </row>
    <row r="9" spans="1:15">
      <c r="A9" s="1638" t="s">
        <v>3174</v>
      </c>
      <c r="B9" s="1638" t="s">
        <v>3150</v>
      </c>
      <c r="C9" s="1638" t="s">
        <v>3151</v>
      </c>
      <c r="D9" s="1638">
        <v>41392.5</v>
      </c>
      <c r="E9" s="1638">
        <v>114243.3</v>
      </c>
      <c r="F9" s="1638" t="s">
        <v>3175</v>
      </c>
      <c r="G9" s="1638" t="s">
        <v>3153</v>
      </c>
      <c r="H9" s="1638" t="s">
        <v>3176</v>
      </c>
      <c r="I9" s="1638" t="s">
        <v>1327</v>
      </c>
      <c r="J9" s="1638">
        <v>17673.43</v>
      </c>
      <c r="K9" s="1638">
        <v>1547</v>
      </c>
      <c r="L9" s="1638" t="s">
        <v>1327</v>
      </c>
      <c r="M9" s="1638" t="s">
        <v>3177</v>
      </c>
      <c r="N9" s="1638"/>
      <c r="O9" s="1638"/>
    </row>
    <row r="10" spans="1:15">
      <c r="A10" s="1638" t="s">
        <v>3178</v>
      </c>
      <c r="B10" s="1638" t="s">
        <v>3150</v>
      </c>
      <c r="C10" s="1638" t="s">
        <v>3151</v>
      </c>
      <c r="D10" s="1638">
        <v>45681.599999999999</v>
      </c>
      <c r="E10" s="1638">
        <v>182726.39999999999</v>
      </c>
      <c r="F10" s="1638" t="s">
        <v>3179</v>
      </c>
      <c r="G10" s="1638" t="s">
        <v>3180</v>
      </c>
      <c r="H10" s="1638" t="s">
        <v>3181</v>
      </c>
      <c r="I10" s="1638" t="s">
        <v>1327</v>
      </c>
      <c r="J10" s="1638">
        <v>30040.22</v>
      </c>
      <c r="K10" s="1638">
        <v>1644</v>
      </c>
      <c r="L10" s="1638" t="s">
        <v>1327</v>
      </c>
      <c r="M10" s="1638" t="s">
        <v>3178</v>
      </c>
      <c r="N10" s="1638"/>
      <c r="O10" s="1638"/>
    </row>
    <row r="11" spans="1:15">
      <c r="A11" s="1638" t="s">
        <v>3182</v>
      </c>
      <c r="B11" s="1638" t="s">
        <v>3150</v>
      </c>
      <c r="C11" s="1638" t="s">
        <v>3151</v>
      </c>
      <c r="D11" s="1638">
        <v>218212.8</v>
      </c>
      <c r="E11" s="1638">
        <v>763744.8</v>
      </c>
      <c r="F11" s="1638" t="s">
        <v>3183</v>
      </c>
      <c r="G11" s="1638" t="s">
        <v>3153</v>
      </c>
      <c r="H11" s="1638" t="s">
        <v>3184</v>
      </c>
      <c r="I11" s="1638">
        <v>22800</v>
      </c>
      <c r="J11" s="1638">
        <v>22800</v>
      </c>
      <c r="K11" s="1638">
        <v>298.52</v>
      </c>
      <c r="L11" s="1638">
        <v>0</v>
      </c>
      <c r="M11" s="1638" t="s">
        <v>3185</v>
      </c>
      <c r="N11" s="1638"/>
      <c r="O11" s="1638"/>
    </row>
    <row r="12" spans="1:15">
      <c r="A12" s="1638" t="s">
        <v>3186</v>
      </c>
      <c r="B12" s="1638" t="s">
        <v>3150</v>
      </c>
      <c r="C12" s="1638" t="s">
        <v>3151</v>
      </c>
      <c r="D12" s="1638">
        <v>69867.600000000006</v>
      </c>
      <c r="E12" s="1638">
        <v>244536.6</v>
      </c>
      <c r="F12" s="1638" t="s">
        <v>3183</v>
      </c>
      <c r="G12" s="1638" t="s">
        <v>3153</v>
      </c>
      <c r="H12" s="1638" t="s">
        <v>3187</v>
      </c>
      <c r="I12" s="1638">
        <v>8700</v>
      </c>
      <c r="J12" s="1638">
        <v>8700</v>
      </c>
      <c r="K12" s="1638">
        <v>355.76</v>
      </c>
      <c r="L12" s="1638">
        <v>0</v>
      </c>
      <c r="M12" s="1638" t="s">
        <v>3185</v>
      </c>
      <c r="N12" s="1638"/>
      <c r="O12" s="1638"/>
    </row>
    <row r="13" spans="1:15">
      <c r="A13" s="1638" t="s">
        <v>3188</v>
      </c>
      <c r="B13" s="1638" t="s">
        <v>3150</v>
      </c>
      <c r="C13" s="1638" t="s">
        <v>3151</v>
      </c>
      <c r="D13" s="1638">
        <v>212226.6</v>
      </c>
      <c r="E13" s="1638">
        <v>636679.80000000005</v>
      </c>
      <c r="F13" s="1638" t="s">
        <v>3189</v>
      </c>
      <c r="G13" s="1638" t="s">
        <v>3153</v>
      </c>
      <c r="H13" s="1638" t="s">
        <v>3187</v>
      </c>
      <c r="I13" s="1638">
        <v>19100</v>
      </c>
      <c r="J13" s="1638">
        <v>19100</v>
      </c>
      <c r="K13" s="1638">
        <v>299.99</v>
      </c>
      <c r="L13" s="1638">
        <v>0</v>
      </c>
      <c r="M13" s="1638" t="s">
        <v>3185</v>
      </c>
      <c r="N13" s="1638"/>
      <c r="O13" s="1638"/>
    </row>
    <row r="14" spans="1:15">
      <c r="A14" s="1638" t="s">
        <v>3190</v>
      </c>
      <c r="B14" s="1638" t="s">
        <v>3150</v>
      </c>
      <c r="C14" s="1638" t="s">
        <v>3151</v>
      </c>
      <c r="D14" s="1638">
        <v>70612.3</v>
      </c>
      <c r="E14" s="1638">
        <v>247143</v>
      </c>
      <c r="F14" s="1638" t="s">
        <v>3183</v>
      </c>
      <c r="G14" s="1638" t="s">
        <v>3153</v>
      </c>
      <c r="H14" s="1638" t="s">
        <v>3191</v>
      </c>
      <c r="I14" s="1638">
        <v>18500</v>
      </c>
      <c r="J14" s="1638">
        <v>18500</v>
      </c>
      <c r="K14" s="1638">
        <v>748.54</v>
      </c>
      <c r="L14" s="1638">
        <v>0</v>
      </c>
      <c r="M14" s="1638" t="s">
        <v>3192</v>
      </c>
      <c r="N14" s="1638"/>
      <c r="O14" s="1638"/>
    </row>
    <row r="15" spans="1:15">
      <c r="A15" s="1638" t="s">
        <v>3193</v>
      </c>
      <c r="B15" s="1638" t="s">
        <v>3150</v>
      </c>
      <c r="C15" s="1638" t="s">
        <v>3151</v>
      </c>
      <c r="D15" s="1638">
        <v>66947.8</v>
      </c>
      <c r="E15" s="1638">
        <v>234317.3</v>
      </c>
      <c r="F15" s="1638" t="s">
        <v>3194</v>
      </c>
      <c r="G15" s="1638" t="s">
        <v>3153</v>
      </c>
      <c r="H15" s="1638" t="s">
        <v>3195</v>
      </c>
      <c r="I15" s="1638">
        <v>27500</v>
      </c>
      <c r="J15" s="1638">
        <v>27500</v>
      </c>
      <c r="K15" s="1638">
        <v>1173.6099999999999</v>
      </c>
      <c r="L15" s="1638">
        <v>0</v>
      </c>
      <c r="M15" s="1638" t="s">
        <v>3196</v>
      </c>
      <c r="N15" s="1638"/>
      <c r="O15" s="1638"/>
    </row>
    <row r="16" spans="1:15">
      <c r="A16" s="1638" t="s">
        <v>3197</v>
      </c>
      <c r="B16" s="1638" t="s">
        <v>3150</v>
      </c>
      <c r="C16" s="1638" t="s">
        <v>3151</v>
      </c>
      <c r="D16" s="1638">
        <v>2204.8000000000002</v>
      </c>
      <c r="E16" s="1638">
        <v>661.44</v>
      </c>
      <c r="F16" s="1638" t="s">
        <v>3198</v>
      </c>
      <c r="G16" s="1638" t="s">
        <v>3153</v>
      </c>
      <c r="H16" s="1638" t="s">
        <v>3199</v>
      </c>
      <c r="I16" s="1638">
        <v>2000</v>
      </c>
      <c r="J16" s="1638">
        <v>2000</v>
      </c>
      <c r="K16" s="1638">
        <v>30237.06</v>
      </c>
      <c r="L16" s="1638">
        <v>0</v>
      </c>
      <c r="M16" s="1638" t="s">
        <v>3200</v>
      </c>
      <c r="N16" s="1638"/>
      <c r="O16" s="1638"/>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61" t="s">
        <v>1658</v>
      </c>
      <c r="B1" s="3061"/>
      <c r="C1" s="3061"/>
      <c r="D1" s="3061"/>
    </row>
    <row r="2" spans="1:4" ht="18">
      <c r="A2" s="3062" t="s">
        <v>1642</v>
      </c>
      <c r="B2" s="3062"/>
      <c r="C2" s="3062"/>
      <c r="D2" s="3062"/>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王鹏</v>
      </c>
      <c r="B5" s="1982">
        <f ca="1">项目基本情况!E4</f>
        <v>1120050019</v>
      </c>
      <c r="C5" s="1985"/>
      <c r="D5" s="1984" t="s">
        <v>1647</v>
      </c>
    </row>
    <row r="6" spans="1:4" ht="18">
      <c r="A6" s="3062" t="s">
        <v>1648</v>
      </c>
      <c r="B6" s="3062"/>
      <c r="C6" s="3062"/>
      <c r="D6" s="3062"/>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3" t="s">
        <v>1651</v>
      </c>
      <c r="B11" s="3055"/>
      <c r="C11" s="3055"/>
      <c r="D11" s="3055"/>
    </row>
    <row r="12" spans="1:4" ht="15.75">
      <c r="A12" s="30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0"/>
      <c r="C12" s="3060"/>
      <c r="D12" s="3060"/>
    </row>
    <row r="13" spans="1:4" ht="30" customHeight="1">
      <c r="A13" s="30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0"/>
      <c r="C13" s="3060"/>
      <c r="D13" s="3060"/>
    </row>
    <row r="14" spans="1:4" ht="15.75" customHeight="1">
      <c r="A14" s="3055" t="str">
        <f>IF(项目基本情况!B8="抵押","4.本次评估估价师所知悉的法定优先受偿款情况说明如下：","——")</f>
        <v>4.本次评估估价师所知悉的法定优先受偿款情况说明如下：</v>
      </c>
      <c r="B14" s="3060"/>
      <c r="C14" s="3060"/>
      <c r="D14" s="3060"/>
    </row>
    <row r="15" spans="1:4" ht="42" customHeight="1">
      <c r="A15" s="30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5"/>
      <c r="C15" s="3055"/>
      <c r="D15" s="3055"/>
    </row>
    <row r="16" spans="1:4" ht="30" customHeight="1">
      <c r="A16" s="3057" t="s">
        <v>1652</v>
      </c>
      <c r="B16" s="3057"/>
      <c r="C16" s="3057"/>
      <c r="D16" s="3057"/>
    </row>
    <row r="17" spans="1:4" ht="144" customHeight="1">
      <c r="A17" s="3057" t="s">
        <v>1653</v>
      </c>
      <c r="B17" s="3057"/>
      <c r="C17" s="3057"/>
      <c r="D17" s="3057"/>
    </row>
    <row r="18" spans="1:4" ht="15.75" customHeight="1">
      <c r="A18" s="3055" t="str">
        <f>IF(项目基本情况!B8="抵押",结果表!K120,"——")</f>
        <v>故，本次评估不存在估价师知悉的法定优先受偿款</v>
      </c>
      <c r="B18" s="3055"/>
      <c r="C18" s="3055"/>
      <c r="D18" s="3055"/>
    </row>
    <row r="19" spans="1:4" ht="46.5" customHeight="1">
      <c r="A19" s="30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5"/>
      <c r="C19" s="3055"/>
      <c r="D19" s="3055"/>
    </row>
    <row r="20" spans="1:4" ht="57.75" customHeight="1">
      <c r="A20" s="30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5"/>
      <c r="C20" s="3055"/>
      <c r="D20" s="3055"/>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8"/>
      <c r="C21" s="3058"/>
      <c r="D21" s="3058"/>
    </row>
    <row r="22" spans="1:4" ht="18.75" customHeight="1">
      <c r="A22" s="3059" t="s">
        <v>1654</v>
      </c>
      <c r="B22" s="3059"/>
      <c r="C22" s="3059"/>
      <c r="D22" s="3059"/>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56">
        <v>42551</v>
      </c>
      <c r="D31" s="30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69" t="s">
        <v>1665</v>
      </c>
      <c r="B15" s="3064" t="s">
        <v>136</v>
      </c>
      <c r="C15" s="3065"/>
    </row>
    <row r="16" spans="1:7" ht="13.5">
      <c r="A16" s="3070"/>
      <c r="B16" s="3064" t="s">
        <v>69</v>
      </c>
      <c r="C16" s="3065"/>
    </row>
    <row r="17" spans="1:3" ht="13.5">
      <c r="A17" s="3070"/>
      <c r="B17" s="3067" t="s">
        <v>1666</v>
      </c>
      <c r="C17" s="2003" t="s">
        <v>1665</v>
      </c>
    </row>
    <row r="18" spans="1:3" ht="13.5">
      <c r="A18" s="3070"/>
      <c r="B18" s="3067"/>
      <c r="C18" s="2003" t="s">
        <v>1667</v>
      </c>
    </row>
    <row r="19" spans="1:3" ht="13.5">
      <c r="A19" s="3070"/>
      <c r="B19" s="3067"/>
      <c r="C19" s="2003" t="s">
        <v>1668</v>
      </c>
    </row>
    <row r="20" spans="1:3" ht="13.5">
      <c r="A20" s="3071"/>
      <c r="B20" s="3066" t="s">
        <v>1669</v>
      </c>
      <c r="C20" s="3065"/>
    </row>
    <row r="21" spans="1:3" ht="13.5">
      <c r="A21" s="2004" t="s">
        <v>1670</v>
      </c>
      <c r="B21" s="2005"/>
      <c r="C21" s="2006"/>
    </row>
    <row r="22" spans="1:3" ht="13.5">
      <c r="A22" s="3068" t="s">
        <v>1671</v>
      </c>
      <c r="B22" s="3066" t="s">
        <v>1672</v>
      </c>
      <c r="C22" s="3065"/>
    </row>
    <row r="23" spans="1:3" ht="13.5">
      <c r="A23" s="3068"/>
      <c r="B23" s="3066" t="s">
        <v>1673</v>
      </c>
      <c r="C23" s="3065"/>
    </row>
    <row r="24" spans="1:3" ht="13.5">
      <c r="A24" s="3068"/>
      <c r="B24" s="3066" t="s">
        <v>1674</v>
      </c>
      <c r="C24" s="3065"/>
    </row>
    <row r="25" spans="1:3" ht="13.5">
      <c r="A25" s="3068"/>
      <c r="B25" s="3067" t="s">
        <v>1675</v>
      </c>
      <c r="C25" s="2003" t="s">
        <v>1676</v>
      </c>
    </row>
    <row r="26" spans="1:3" ht="13.5">
      <c r="A26" s="3068"/>
      <c r="B26" s="3067"/>
      <c r="C26" s="2003" t="s">
        <v>1677</v>
      </c>
    </row>
    <row r="27" spans="1:3" ht="13.5">
      <c r="A27" s="3068"/>
      <c r="B27" s="3067"/>
      <c r="C27" s="2003" t="s">
        <v>1678</v>
      </c>
    </row>
    <row r="28" spans="1:3" ht="13.5">
      <c r="A28" s="3068"/>
      <c r="B28" s="3067"/>
      <c r="C28" s="2003" t="s">
        <v>1679</v>
      </c>
    </row>
    <row r="29" spans="1:3" ht="13.5">
      <c r="A29" s="3068"/>
      <c r="B29" s="3067"/>
      <c r="C29" s="2003" t="s">
        <v>1680</v>
      </c>
    </row>
    <row r="30" spans="1:3" ht="13.5">
      <c r="A30" s="3068"/>
      <c r="B30" s="3067"/>
      <c r="C30" s="2003" t="s">
        <v>1681</v>
      </c>
    </row>
    <row r="31" spans="1:3" ht="13.5">
      <c r="A31" s="3068"/>
      <c r="B31" s="3067"/>
      <c r="C31" s="2003" t="s">
        <v>1682</v>
      </c>
    </row>
    <row r="32" spans="1:3" ht="13.5">
      <c r="A32" s="3068"/>
      <c r="B32" s="3067"/>
      <c r="C32" s="2003" t="s">
        <v>1683</v>
      </c>
    </row>
    <row r="33" spans="1:3" ht="13.5">
      <c r="A33" s="3068"/>
      <c r="B33" s="306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43539</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3044</v>
      </c>
      <c r="B14" s="1025">
        <f ca="1">IF(C14&lt;B2,"已过期",1120040230)</f>
        <v>1120040230</v>
      </c>
      <c r="C14" s="2351">
        <v>43835</v>
      </c>
      <c r="D14" s="2354" t="s">
        <v>3044</v>
      </c>
      <c r="E14" s="1025">
        <f ca="1">IF(F14&lt;B2,"已过期",98030020)</f>
        <v>98030020</v>
      </c>
      <c r="F14" s="1033">
        <v>47118</v>
      </c>
    </row>
    <row r="15" spans="1:6" ht="24" customHeight="1">
      <c r="A15" s="1706" t="s">
        <v>3045</v>
      </c>
      <c r="B15" s="1025">
        <f ca="1">IF(C15&lt;B2,"已过期",1120070085)</f>
        <v>1120070085</v>
      </c>
      <c r="C15" s="2351">
        <v>43814</v>
      </c>
      <c r="D15" s="2355" t="s">
        <v>3045</v>
      </c>
      <c r="E15" s="1025">
        <f ca="1">IF(F15&lt;B2,"已过期",2004110128)</f>
        <v>2004110128</v>
      </c>
      <c r="F15" s="1026">
        <v>47118</v>
      </c>
    </row>
    <row r="16" spans="1:6" ht="24" customHeight="1">
      <c r="A16" s="1705" t="s">
        <v>3046</v>
      </c>
      <c r="B16" s="1025">
        <f ca="1">IF(C16&lt;B2,"已过期",1120140022)</f>
        <v>1120140022</v>
      </c>
      <c r="C16" s="2941">
        <v>44029</v>
      </c>
      <c r="D16" s="2354" t="s">
        <v>3046</v>
      </c>
      <c r="E16" s="1025">
        <f ca="1">IF(F16&lt;B2,"已过期",2008110059)</f>
        <v>2008110059</v>
      </c>
      <c r="F16" s="1033">
        <v>47177</v>
      </c>
    </row>
    <row r="17" spans="1:7" ht="24" customHeight="1">
      <c r="A17" s="1705"/>
      <c r="B17" s="1025"/>
      <c r="C17" s="2351"/>
      <c r="D17" s="2354" t="s">
        <v>3047</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1">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3072" t="s">
        <v>843</v>
      </c>
      <c r="B25" s="3072"/>
      <c r="C25" s="3072"/>
      <c r="D25" s="3072"/>
      <c r="E25" s="3072"/>
      <c r="F25" s="3072"/>
      <c r="G25" s="3072"/>
    </row>
    <row r="26" spans="1:7" s="1028" customFormat="1" ht="24" customHeight="1">
      <c r="A26" s="3073" t="s">
        <v>844</v>
      </c>
      <c r="B26" s="3073"/>
      <c r="C26" s="3074"/>
      <c r="D26" s="3075" t="s">
        <v>845</v>
      </c>
      <c r="E26" s="3073"/>
      <c r="F26" s="3073"/>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结果表-办公</vt:lpstr>
      <vt:lpstr>结果表-车库</vt:lpstr>
      <vt:lpstr>成本法</vt:lpstr>
      <vt:lpstr>成本法 (元)</vt:lpstr>
      <vt:lpstr>假设开发法</vt:lpstr>
      <vt:lpstr>土地比较法-住宅、综合</vt:lpstr>
      <vt:lpstr>收益法（汇总）</vt:lpstr>
      <vt:lpstr>比较法-商业</vt:lpstr>
      <vt:lpstr>典型户型修正</vt:lpstr>
      <vt:lpstr>收益法</vt:lpstr>
      <vt:lpstr>收益法 (元)</vt:lpstr>
      <vt:lpstr>酒店收入计算</vt:lpstr>
      <vt:lpstr>比较法-住宅</vt:lpstr>
      <vt:lpstr>比较法-办公</vt:lpstr>
      <vt:lpstr>比较法-工业</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收益法-办公</vt:lpstr>
      <vt:lpstr>比较法-车位</vt:lpstr>
      <vt:lpstr>收益法-车库</vt:lpstr>
      <vt:lpstr>Sheet2</vt:lpstr>
      <vt:lpstr>Sheet5</vt:lpstr>
      <vt:lpstr>估价师及机构信息!Print_Area</vt:lpstr>
      <vt:lpstr>收益法!Print_Area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2019-03-15T05:52:42Z</dcterms:modified>
</cp:coreProperties>
</file>