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天津刘胜来\"/>
    </mc:Choice>
  </mc:AlternateContent>
  <bookViews>
    <workbookView xWindow="11625" yWindow="165" windowWidth="11385" windowHeight="9465" tabRatio="899" firstSheet="2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state="hidden" r:id="rId12"/>
    <sheet name="数据-基础表" sheetId="3" r:id="rId13"/>
    <sheet name="数据-汇总表" sheetId="6" r:id="rId14"/>
    <sheet name="土地信息" sheetId="79" r:id="rId15"/>
    <sheet name="尽调及已售情况" sheetId="81" r:id="rId16"/>
    <sheet name="B1住宅" sheetId="82" r:id="rId17"/>
    <sheet name="B1商业" sheetId="83" r:id="rId18"/>
    <sheet name="抵押物清单（分楼）" sheetId="42" state="hidden" r:id="rId19"/>
    <sheet name="数据-取费表" sheetId="1" r:id="rId20"/>
    <sheet name="估价对象房地状况" sheetId="20" r:id="rId21"/>
    <sheet name="系统读取表" sheetId="74" r:id="rId22"/>
    <sheet name="结果表" sheetId="9" r:id="rId23"/>
    <sheet name="成本法 (元)" sheetId="69" state="hidden" r:id="rId24"/>
    <sheet name="成本法" sheetId="68" r:id="rId25"/>
    <sheet name="土地比较法-住宅、综合" sheetId="39" r:id="rId26"/>
    <sheet name="土地案例" sheetId="80" r:id="rId27"/>
    <sheet name="Sheet1" sheetId="86" r:id="rId28"/>
    <sheet name="假设开发法" sheetId="12" r:id="rId29"/>
    <sheet name="收益法 (元)" sheetId="67" state="hidden" r:id="rId30"/>
    <sheet name="收益法（汇总）" sheetId="70" state="hidden" r:id="rId31"/>
    <sheet name="酒店收入计算" sheetId="66" state="hidden" r:id="rId32"/>
    <sheet name="比较法-住宅（小高层）" sheetId="21"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比较法-住宅（平墅）" sheetId="85" r:id="rId39"/>
    <sheet name="收益法" sheetId="15"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Sheet2" sheetId="78"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8" hidden="1">'比较法-住宅（平墅）'!$A$1:$L$49</definedName>
    <definedName name="_xlnm._FilterDatabase" localSheetId="32" hidden="1">'比较法-住宅（小高层）'!$A$1:$L$49</definedName>
    <definedName name="_xlnm._FilterDatabase" localSheetId="12" hidden="1">'数据-基础表'!$A$12:$AT$587</definedName>
    <definedName name="_xlnm._FilterDatabase" localSheetId="40"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39">收益法!$A$1:$F$43</definedName>
    <definedName name="_xlnm.Print_Area" localSheetId="29">'收益法 (元)'!$A$1:$AK$69</definedName>
    <definedName name="_xlnm.Print_Area" localSheetId="13">'数据-汇总表'!$A$1:$J$32</definedName>
    <definedName name="_xlnm.Print_Area" localSheetId="12">'数据-基础表'!$A$1:$M$13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8">'比较法-住宅（平墅）'!$B$88:$M$88</definedName>
    <definedName name="住宅朝向">'比较法-住宅（小高层）'!$B$88:$M$88</definedName>
    <definedName name="住宅房型" localSheetId="38">'比较法-住宅（平墅）'!$B$118:$M$118</definedName>
    <definedName name="住宅房型">'比较法-住宅（小高层）'!$B$118:$M$118</definedName>
    <definedName name="住宅公共部分装修" localSheetId="38">'比较法-住宅（平墅）'!$B$109:$M$109</definedName>
    <definedName name="住宅公共部分装修">'比较法-住宅（小高层）'!$B$109:$M$109</definedName>
    <definedName name="住宅基础设施水平" localSheetId="38">'比较法-住宅（平墅）'!$B$116:$M$116</definedName>
    <definedName name="住宅基础设施水平">'比较法-住宅（小高层）'!$B$116:$M$116</definedName>
    <definedName name="住宅建筑结构" localSheetId="38">'比较法-住宅（平墅）'!$B$105:$M$105</definedName>
    <definedName name="住宅建筑结构">'比较法-住宅（小高层）'!$B$105:$M$105</definedName>
    <definedName name="住宅建筑类型" localSheetId="38">'比较法-住宅（平墅）'!$B$100:$M$100</definedName>
    <definedName name="住宅建筑类型">'比较法-住宅（小高层）'!$B$100:$M$100</definedName>
    <definedName name="住宅建筑品质" localSheetId="38">'比较法-住宅（平墅）'!$B$107:$M$107</definedName>
    <definedName name="住宅建筑品质">'比较法-住宅（小高层）'!$B$107:$M$107</definedName>
    <definedName name="住宅交易情况" localSheetId="38">'比较法-住宅（平墅）'!$A$61:$M$61</definedName>
    <definedName name="住宅交易情况">'比较法-住宅（小高层）'!$A$61:$M$61</definedName>
    <definedName name="住宅楼层" localSheetId="38">'比较法-住宅（平墅）'!$B$86:$M$86</definedName>
    <definedName name="住宅楼层">'比较法-住宅（小高层）'!$B$86:$M$86</definedName>
    <definedName name="住宅内部装修" localSheetId="38">'比较法-住宅（平墅）'!$B$122:$M$122</definedName>
    <definedName name="住宅内部装修">'比较法-住宅（小高层）'!$B$122:$M$122</definedName>
    <definedName name="住宅物业管理" localSheetId="38">'比较法-住宅（平墅）'!$B$114:$M$114</definedName>
    <definedName name="住宅物业管理">'比较法-住宅（小高层）'!$B$114:$M$114</definedName>
    <definedName name="住宅用途" localSheetId="38">'比较法-住宅（平墅）'!$B$63:$M$63</definedName>
    <definedName name="住宅用途">'比较法-住宅（小高层）'!$B$63:$M$63</definedName>
    <definedName name="住宅主力户型面积" localSheetId="38">'比较法-住宅（平墅）'!$B$120:$M$120</definedName>
    <definedName name="住宅主力户型面积">'比较法-住宅（小高层）'!$B$120:$M$120</definedName>
    <definedName name="注册房地产估价师">估价师及机构信息!$A$3:$A$24</definedName>
  </definedNames>
  <calcPr calcId="162913"/>
</workbook>
</file>

<file path=xl/calcChain.xml><?xml version="1.0" encoding="utf-8"?>
<calcChain xmlns="http://schemas.openxmlformats.org/spreadsheetml/2006/main">
  <c r="E24" i="86" l="1"/>
  <c r="F25" i="86"/>
  <c r="F24" i="86"/>
  <c r="G15" i="86" l="1"/>
  <c r="F15" i="86"/>
  <c r="E15" i="86"/>
  <c r="D15" i="86"/>
  <c r="C15" i="86"/>
  <c r="F16" i="86"/>
  <c r="E16" i="86"/>
  <c r="D16" i="86"/>
  <c r="C16" i="86"/>
  <c r="G10" i="86" l="1"/>
  <c r="C10" i="86"/>
  <c r="D10" i="86"/>
  <c r="B10" i="86"/>
  <c r="C17" i="74"/>
  <c r="B17" i="74"/>
  <c r="C16" i="74"/>
  <c r="B16" i="74"/>
  <c r="C15" i="74"/>
  <c r="B15" i="74"/>
  <c r="K10" i="82"/>
  <c r="M13" i="3" s="1"/>
  <c r="K11" i="82"/>
  <c r="M7" i="82"/>
  <c r="N7" i="82"/>
  <c r="L21" i="6"/>
  <c r="L8" i="1"/>
  <c r="B24" i="1"/>
  <c r="F33" i="85"/>
  <c r="AA33" i="85"/>
  <c r="R47" i="85"/>
  <c r="R48" i="85"/>
  <c r="H33" i="85"/>
  <c r="AB33" i="85"/>
  <c r="T48" i="85"/>
  <c r="J33" i="85"/>
  <c r="AC33" i="85"/>
  <c r="V48" i="85"/>
  <c r="R49" i="85"/>
  <c r="C49" i="85"/>
  <c r="D3" i="85"/>
  <c r="B2" i="85" s="1"/>
  <c r="D8" i="12" s="1"/>
  <c r="B3" i="85"/>
  <c r="D6" i="12" s="1"/>
  <c r="F33" i="21"/>
  <c r="AA33" i="21"/>
  <c r="R48" i="21"/>
  <c r="H33" i="21"/>
  <c r="AB33" i="21"/>
  <c r="T48" i="21"/>
  <c r="J33" i="21"/>
  <c r="AC33" i="21"/>
  <c r="V48" i="21"/>
  <c r="R49" i="21"/>
  <c r="C49" i="21"/>
  <c r="D3" i="21"/>
  <c r="B2" i="21" s="1"/>
  <c r="C8" i="12" s="1"/>
  <c r="B3" i="21"/>
  <c r="C6" i="12"/>
  <c r="J140" i="85"/>
  <c r="C145" i="85"/>
  <c r="K139" i="85"/>
  <c r="K145" i="85"/>
  <c r="K144" i="85"/>
  <c r="K143" i="85"/>
  <c r="J142" i="85"/>
  <c r="K141" i="85"/>
  <c r="B130" i="85"/>
  <c r="B128" i="85"/>
  <c r="B126" i="85"/>
  <c r="D125" i="85"/>
  <c r="E125" i="85"/>
  <c r="F125" i="85"/>
  <c r="G125" i="85"/>
  <c r="D123" i="85"/>
  <c r="E123" i="85"/>
  <c r="F123" i="85"/>
  <c r="G123" i="85"/>
  <c r="H123" i="85"/>
  <c r="I123" i="85"/>
  <c r="J123" i="85"/>
  <c r="K123" i="85"/>
  <c r="L123" i="85"/>
  <c r="M123" i="85"/>
  <c r="D119" i="85"/>
  <c r="E119" i="85"/>
  <c r="F119" i="85"/>
  <c r="G119" i="85"/>
  <c r="H119" i="85"/>
  <c r="I119" i="85"/>
  <c r="J119" i="85"/>
  <c r="K119" i="85"/>
  <c r="L119" i="85"/>
  <c r="M119" i="85"/>
  <c r="D117" i="85"/>
  <c r="E117" i="85"/>
  <c r="F117" i="85"/>
  <c r="G117" i="85"/>
  <c r="D115" i="85"/>
  <c r="E115" i="85"/>
  <c r="F115" i="85"/>
  <c r="G115" i="85"/>
  <c r="H115" i="85"/>
  <c r="I115" i="85"/>
  <c r="J115" i="85"/>
  <c r="K115" i="85"/>
  <c r="L115" i="85"/>
  <c r="M115" i="85"/>
  <c r="D113" i="85"/>
  <c r="E113" i="85"/>
  <c r="F113" i="85"/>
  <c r="G113" i="85"/>
  <c r="H113" i="85"/>
  <c r="H111" i="85"/>
  <c r="G111" i="85"/>
  <c r="F111" i="85"/>
  <c r="E111" i="85"/>
  <c r="D111" i="85"/>
  <c r="C111" i="85"/>
  <c r="D110" i="85"/>
  <c r="E110" i="85"/>
  <c r="F110" i="85"/>
  <c r="G110" i="85"/>
  <c r="H110" i="85"/>
  <c r="I110" i="85"/>
  <c r="J110" i="85"/>
  <c r="K110" i="85"/>
  <c r="L110" i="85"/>
  <c r="M110" i="85"/>
  <c r="D108" i="85"/>
  <c r="E108" i="85"/>
  <c r="F108" i="85"/>
  <c r="G108" i="85"/>
  <c r="H108" i="85"/>
  <c r="I108" i="85"/>
  <c r="J108" i="85"/>
  <c r="K108" i="85"/>
  <c r="L108" i="85"/>
  <c r="M108" i="85"/>
  <c r="D106" i="85"/>
  <c r="E106" i="85"/>
  <c r="F106" i="85"/>
  <c r="G106" i="85"/>
  <c r="H106" i="85"/>
  <c r="I106" i="85"/>
  <c r="J106" i="85"/>
  <c r="K106" i="85"/>
  <c r="L106" i="85"/>
  <c r="M106" i="85"/>
  <c r="M102" i="85"/>
  <c r="L102" i="85"/>
  <c r="K102" i="85"/>
  <c r="J102" i="85"/>
  <c r="I102" i="85"/>
  <c r="H102" i="85"/>
  <c r="G102" i="85"/>
  <c r="F102" i="85"/>
  <c r="E102" i="85"/>
  <c r="D102" i="85"/>
  <c r="C102" i="85"/>
  <c r="D101" i="85"/>
  <c r="E101" i="85"/>
  <c r="F101" i="85"/>
  <c r="G101" i="85"/>
  <c r="H101" i="85"/>
  <c r="I101" i="85"/>
  <c r="J101" i="85"/>
  <c r="K101" i="85"/>
  <c r="L101" i="85"/>
  <c r="M101" i="85"/>
  <c r="B98" i="85"/>
  <c r="B96" i="85"/>
  <c r="B94" i="85"/>
  <c r="B92" i="85"/>
  <c r="B90" i="85"/>
  <c r="D89" i="85"/>
  <c r="E89" i="85"/>
  <c r="F89" i="85"/>
  <c r="G89" i="85"/>
  <c r="H89" i="85"/>
  <c r="I89" i="85"/>
  <c r="J89" i="85"/>
  <c r="K89" i="85"/>
  <c r="L89" i="85"/>
  <c r="M89" i="85"/>
  <c r="M87" i="85"/>
  <c r="L87" i="85"/>
  <c r="K87" i="85"/>
  <c r="J87" i="85"/>
  <c r="I87" i="85"/>
  <c r="H87" i="85"/>
  <c r="G87" i="85"/>
  <c r="F87" i="85"/>
  <c r="E87" i="85"/>
  <c r="D87" i="85"/>
  <c r="D85" i="85"/>
  <c r="E85" i="85"/>
  <c r="F85" i="85"/>
  <c r="G85" i="85"/>
  <c r="D83" i="85"/>
  <c r="E83" i="85"/>
  <c r="F83" i="85"/>
  <c r="G83" i="85"/>
  <c r="D81" i="85"/>
  <c r="E81" i="85"/>
  <c r="F81" i="85"/>
  <c r="G81" i="85"/>
  <c r="D79" i="85"/>
  <c r="E79" i="85"/>
  <c r="F79" i="85"/>
  <c r="G79" i="85"/>
  <c r="D77" i="85"/>
  <c r="E77" i="85"/>
  <c r="F77" i="85"/>
  <c r="G77" i="85"/>
  <c r="B74" i="85"/>
  <c r="B72" i="85"/>
  <c r="B70" i="85"/>
  <c r="D69" i="85"/>
  <c r="E69" i="85"/>
  <c r="F69" i="85"/>
  <c r="G69" i="85"/>
  <c r="H69" i="85"/>
  <c r="I69" i="85"/>
  <c r="J69" i="85"/>
  <c r="K69" i="85"/>
  <c r="L69" i="85"/>
  <c r="M69" i="85"/>
  <c r="M67" i="85"/>
  <c r="L67" i="85"/>
  <c r="K67" i="85"/>
  <c r="J67" i="85"/>
  <c r="I67" i="85"/>
  <c r="H67" i="85"/>
  <c r="G67" i="85"/>
  <c r="F67" i="85"/>
  <c r="E67" i="85"/>
  <c r="D67" i="85"/>
  <c r="C67" i="85"/>
  <c r="D66" i="85"/>
  <c r="E66" i="85"/>
  <c r="F66" i="85"/>
  <c r="G66" i="85"/>
  <c r="H66" i="85"/>
  <c r="I66" i="85"/>
  <c r="C63" i="85"/>
  <c r="C7" i="85"/>
  <c r="C58" i="85"/>
  <c r="D58" i="85"/>
  <c r="E58" i="85"/>
  <c r="F58" i="85"/>
  <c r="G58" i="85"/>
  <c r="H58" i="85"/>
  <c r="I58" i="85"/>
  <c r="J58" i="85"/>
  <c r="K58" i="85"/>
  <c r="L58" i="85"/>
  <c r="M58" i="85"/>
  <c r="N58" i="85"/>
  <c r="O58" i="85"/>
  <c r="I54" i="85"/>
  <c r="J54" i="85"/>
  <c r="G54" i="85"/>
  <c r="H54" i="85"/>
  <c r="E54" i="85"/>
  <c r="F54" i="85"/>
  <c r="V47" i="85"/>
  <c r="I7" i="85"/>
  <c r="J7" i="85"/>
  <c r="AC7" i="85"/>
  <c r="J8" i="85"/>
  <c r="AC8" i="85"/>
  <c r="J9" i="85"/>
  <c r="AC9" i="85"/>
  <c r="J10" i="85"/>
  <c r="AC10" i="85"/>
  <c r="J11" i="85"/>
  <c r="AC11" i="85"/>
  <c r="J12" i="85"/>
  <c r="AC12" i="85"/>
  <c r="J13" i="85"/>
  <c r="AC13" i="85"/>
  <c r="J14" i="85"/>
  <c r="AC14" i="85"/>
  <c r="J15" i="85"/>
  <c r="AC15" i="85"/>
  <c r="J17" i="85"/>
  <c r="AC17" i="85"/>
  <c r="J19" i="85"/>
  <c r="AC19" i="85"/>
  <c r="J21" i="85"/>
  <c r="AC21" i="85"/>
  <c r="J23" i="85"/>
  <c r="AC23" i="85"/>
  <c r="J25" i="85"/>
  <c r="AC25" i="85"/>
  <c r="J26" i="85"/>
  <c r="AC26" i="85"/>
  <c r="J27" i="85"/>
  <c r="AC27" i="85"/>
  <c r="J28" i="85"/>
  <c r="AC28" i="85"/>
  <c r="J29" i="85"/>
  <c r="AC29" i="85"/>
  <c r="J30" i="85"/>
  <c r="AC30" i="85"/>
  <c r="J31" i="85"/>
  <c r="AC31" i="85"/>
  <c r="J32" i="85"/>
  <c r="AC32" i="85"/>
  <c r="C33" i="85"/>
  <c r="J34" i="85"/>
  <c r="AC34" i="85"/>
  <c r="J35" i="85"/>
  <c r="AC35" i="85"/>
  <c r="J36" i="85"/>
  <c r="AC36" i="85"/>
  <c r="J37" i="85"/>
  <c r="AC37" i="85"/>
  <c r="J38" i="85"/>
  <c r="AC38" i="85"/>
  <c r="J39" i="85"/>
  <c r="AC39" i="85"/>
  <c r="J40" i="85"/>
  <c r="AC40" i="85"/>
  <c r="J41" i="85"/>
  <c r="AC41" i="85"/>
  <c r="J42" i="85"/>
  <c r="AC42" i="85"/>
  <c r="J43" i="85"/>
  <c r="AC43" i="85"/>
  <c r="J44" i="85"/>
  <c r="AC44" i="85"/>
  <c r="J45" i="85"/>
  <c r="AC45" i="85"/>
  <c r="J46" i="85"/>
  <c r="AC46" i="85"/>
  <c r="I48" i="85"/>
  <c r="E7" i="85"/>
  <c r="F7" i="85"/>
  <c r="AA7" i="85"/>
  <c r="F8" i="85"/>
  <c r="AA8" i="85"/>
  <c r="F9" i="85"/>
  <c r="AA9" i="85"/>
  <c r="F10" i="85"/>
  <c r="AA10" i="85"/>
  <c r="F11" i="85"/>
  <c r="AA11" i="85"/>
  <c r="F12" i="85"/>
  <c r="AA12" i="85"/>
  <c r="F13" i="85"/>
  <c r="AA13" i="85"/>
  <c r="F14" i="85"/>
  <c r="AA14" i="85"/>
  <c r="F15" i="85"/>
  <c r="AA15" i="85"/>
  <c r="F17" i="85"/>
  <c r="AA17" i="85"/>
  <c r="F19" i="85"/>
  <c r="AA19" i="85"/>
  <c r="F21" i="85"/>
  <c r="AA21" i="85"/>
  <c r="F23" i="85"/>
  <c r="AA23" i="85"/>
  <c r="F25" i="85"/>
  <c r="AA25" i="85"/>
  <c r="F26" i="85"/>
  <c r="AA26" i="85"/>
  <c r="F27" i="85"/>
  <c r="AA27" i="85"/>
  <c r="F28" i="85"/>
  <c r="AA28" i="85"/>
  <c r="F29" i="85"/>
  <c r="AA29" i="85"/>
  <c r="F30" i="85"/>
  <c r="AA30" i="85"/>
  <c r="F31" i="85"/>
  <c r="AA31" i="85"/>
  <c r="F32" i="85"/>
  <c r="AA32" i="85"/>
  <c r="F34" i="85"/>
  <c r="AA34" i="85"/>
  <c r="F35" i="85"/>
  <c r="AA35" i="85"/>
  <c r="F36" i="85"/>
  <c r="AA36" i="85"/>
  <c r="F37" i="85"/>
  <c r="AA37" i="85"/>
  <c r="F38" i="85"/>
  <c r="AA38" i="85"/>
  <c r="F39" i="85"/>
  <c r="AA39" i="85"/>
  <c r="F40" i="85"/>
  <c r="AA40" i="85"/>
  <c r="F41" i="85"/>
  <c r="AA41" i="85"/>
  <c r="F42" i="85"/>
  <c r="AA42" i="85"/>
  <c r="F43" i="85"/>
  <c r="AA43" i="85"/>
  <c r="F44" i="85"/>
  <c r="AA44" i="85"/>
  <c r="F45" i="85"/>
  <c r="AA45" i="85"/>
  <c r="F46" i="85"/>
  <c r="AA46" i="85"/>
  <c r="E48" i="85"/>
  <c r="I53" i="85"/>
  <c r="J53" i="85"/>
  <c r="T47" i="85"/>
  <c r="G7" i="85"/>
  <c r="H7" i="85"/>
  <c r="AB7" i="85"/>
  <c r="H8" i="85"/>
  <c r="AB8" i="85"/>
  <c r="H9" i="85"/>
  <c r="AB9" i="85"/>
  <c r="H10" i="85"/>
  <c r="AB10" i="85"/>
  <c r="H11" i="85"/>
  <c r="AB11" i="85"/>
  <c r="H12" i="85"/>
  <c r="AB12" i="85"/>
  <c r="H13" i="85"/>
  <c r="AB13" i="85"/>
  <c r="H14" i="85"/>
  <c r="AB14" i="85"/>
  <c r="H15" i="85"/>
  <c r="AB15" i="85"/>
  <c r="H17" i="85"/>
  <c r="AB17" i="85"/>
  <c r="H19" i="85"/>
  <c r="AB19" i="85"/>
  <c r="H21" i="85"/>
  <c r="AB21" i="85"/>
  <c r="H23" i="85"/>
  <c r="AB23" i="85"/>
  <c r="H25" i="85"/>
  <c r="AB25" i="85"/>
  <c r="H26" i="85"/>
  <c r="AB26" i="85"/>
  <c r="H27" i="85"/>
  <c r="AB27" i="85"/>
  <c r="H28" i="85"/>
  <c r="AB28" i="85"/>
  <c r="H29" i="85"/>
  <c r="AB29" i="85"/>
  <c r="H30" i="85"/>
  <c r="AB30" i="85"/>
  <c r="H31" i="85"/>
  <c r="AB31" i="85"/>
  <c r="H32" i="85"/>
  <c r="AB32" i="85"/>
  <c r="H34" i="85"/>
  <c r="AB34" i="85"/>
  <c r="H35" i="85"/>
  <c r="AB35" i="85"/>
  <c r="H36" i="85"/>
  <c r="AB36" i="85"/>
  <c r="H37" i="85"/>
  <c r="AB37" i="85"/>
  <c r="H38" i="85"/>
  <c r="AB38" i="85"/>
  <c r="H39" i="85"/>
  <c r="AB39" i="85"/>
  <c r="H40" i="85"/>
  <c r="AB40" i="85"/>
  <c r="H41" i="85"/>
  <c r="AB41" i="85"/>
  <c r="H42" i="85"/>
  <c r="AB42" i="85"/>
  <c r="H43" i="85"/>
  <c r="AB43" i="85"/>
  <c r="H44" i="85"/>
  <c r="AB44" i="85"/>
  <c r="H45" i="85"/>
  <c r="AB45" i="85"/>
  <c r="H46" i="85"/>
  <c r="AB46" i="85"/>
  <c r="G48" i="85"/>
  <c r="G53" i="85"/>
  <c r="H53" i="85"/>
  <c r="E53" i="85"/>
  <c r="F53" i="85"/>
  <c r="I52" i="85"/>
  <c r="J52" i="85"/>
  <c r="G52" i="85"/>
  <c r="H52" i="85"/>
  <c r="E52" i="85"/>
  <c r="F52" i="85"/>
  <c r="P49" i="85"/>
  <c r="P48" i="85"/>
  <c r="C48" i="85"/>
  <c r="P47" i="85"/>
  <c r="Q46" i="85"/>
  <c r="Z46" i="85"/>
  <c r="W46" i="85"/>
  <c r="U46" i="85"/>
  <c r="S46" i="85"/>
  <c r="Q45" i="85"/>
  <c r="Z45" i="85"/>
  <c r="W45" i="85"/>
  <c r="U45" i="85"/>
  <c r="S45" i="85"/>
  <c r="Q44" i="85"/>
  <c r="Z44" i="85"/>
  <c r="W44" i="85"/>
  <c r="U44" i="85"/>
  <c r="S44" i="85"/>
  <c r="Q43" i="85"/>
  <c r="Z43" i="85"/>
  <c r="W43" i="85"/>
  <c r="U43" i="85"/>
  <c r="S43" i="85"/>
  <c r="Q42" i="85"/>
  <c r="Z42" i="85"/>
  <c r="W42" i="85"/>
  <c r="U42" i="85"/>
  <c r="S42" i="85"/>
  <c r="Q41" i="85"/>
  <c r="Z41" i="85"/>
  <c r="W41" i="85"/>
  <c r="U41" i="85"/>
  <c r="S41" i="85"/>
  <c r="Q40" i="85"/>
  <c r="Z40" i="85"/>
  <c r="W40" i="85"/>
  <c r="U40" i="85"/>
  <c r="S40" i="85"/>
  <c r="Q39" i="85"/>
  <c r="Z39" i="85"/>
  <c r="W39" i="85"/>
  <c r="U39" i="85"/>
  <c r="S39" i="85"/>
  <c r="Q38" i="85"/>
  <c r="Z38" i="85"/>
  <c r="W38" i="85"/>
  <c r="U38" i="85"/>
  <c r="S38" i="85"/>
  <c r="Q37" i="85"/>
  <c r="Z37" i="85"/>
  <c r="W37" i="85"/>
  <c r="U37" i="85"/>
  <c r="S37" i="85"/>
  <c r="Q36" i="85"/>
  <c r="Z36" i="85"/>
  <c r="W36" i="85"/>
  <c r="U36" i="85"/>
  <c r="S36" i="85"/>
  <c r="Q35" i="85"/>
  <c r="Z35" i="85"/>
  <c r="W35" i="85"/>
  <c r="U35" i="85"/>
  <c r="S35" i="85"/>
  <c r="Q34" i="85"/>
  <c r="Z34" i="85"/>
  <c r="W34" i="85"/>
  <c r="U34" i="85"/>
  <c r="S34" i="85"/>
  <c r="Q33" i="85"/>
  <c r="Z33" i="85"/>
  <c r="W33" i="85"/>
  <c r="U33" i="85"/>
  <c r="S33" i="85"/>
  <c r="Q32" i="85"/>
  <c r="Z32" i="85"/>
  <c r="W32" i="85"/>
  <c r="U32" i="85"/>
  <c r="S32" i="85"/>
  <c r="Q31" i="85"/>
  <c r="Z31" i="85"/>
  <c r="W31" i="85"/>
  <c r="U31" i="85"/>
  <c r="S31" i="85"/>
  <c r="Q30" i="85"/>
  <c r="Z30" i="85"/>
  <c r="W30" i="85"/>
  <c r="U30" i="85"/>
  <c r="S30" i="85"/>
  <c r="Q29" i="85"/>
  <c r="Z29" i="85"/>
  <c r="W29" i="85"/>
  <c r="U29" i="85"/>
  <c r="S29" i="85"/>
  <c r="Q28" i="85"/>
  <c r="Z28" i="85"/>
  <c r="W28" i="85"/>
  <c r="U28" i="85"/>
  <c r="S28" i="85"/>
  <c r="Q27" i="85"/>
  <c r="Z27" i="85"/>
  <c r="W27" i="85"/>
  <c r="U27" i="85"/>
  <c r="S27" i="85"/>
  <c r="Q26" i="85"/>
  <c r="Z26" i="85"/>
  <c r="W26" i="85"/>
  <c r="U26" i="85"/>
  <c r="S26" i="85"/>
  <c r="Q25" i="85"/>
  <c r="Z25" i="85"/>
  <c r="W25" i="85"/>
  <c r="U25" i="85"/>
  <c r="S25" i="85"/>
  <c r="Q23" i="85"/>
  <c r="Z23" i="85"/>
  <c r="W23" i="85"/>
  <c r="U23" i="85"/>
  <c r="S23" i="85"/>
  <c r="C23" i="85"/>
  <c r="Q21" i="85"/>
  <c r="Z21" i="85"/>
  <c r="W21" i="85"/>
  <c r="U21" i="85"/>
  <c r="S21" i="85"/>
  <c r="C21" i="85"/>
  <c r="Q19" i="85"/>
  <c r="Z19" i="85"/>
  <c r="W19" i="85"/>
  <c r="U19" i="85"/>
  <c r="S19" i="85"/>
  <c r="C19" i="85"/>
  <c r="Q17" i="85"/>
  <c r="Z17" i="85"/>
  <c r="W17" i="85"/>
  <c r="U17" i="85"/>
  <c r="S17" i="85"/>
  <c r="C17" i="85"/>
  <c r="Q15" i="85"/>
  <c r="Z15" i="85"/>
  <c r="W15" i="85"/>
  <c r="U15" i="85"/>
  <c r="S15" i="85"/>
  <c r="C15" i="85"/>
  <c r="Q14" i="85"/>
  <c r="Z14" i="85"/>
  <c r="W14" i="85"/>
  <c r="U14" i="85"/>
  <c r="S14" i="85"/>
  <c r="Q13" i="85"/>
  <c r="Z13" i="85"/>
  <c r="W13" i="85"/>
  <c r="U13" i="85"/>
  <c r="S13" i="85"/>
  <c r="Q12" i="85"/>
  <c r="Z12" i="85"/>
  <c r="W12" i="85"/>
  <c r="U12" i="85"/>
  <c r="S12" i="85"/>
  <c r="Q11" i="85"/>
  <c r="Z11" i="85"/>
  <c r="W11" i="85"/>
  <c r="U11" i="85"/>
  <c r="S11" i="85"/>
  <c r="Q10" i="85"/>
  <c r="Z10" i="85"/>
  <c r="W10" i="85"/>
  <c r="U10" i="85"/>
  <c r="S10" i="85"/>
  <c r="Q9" i="85"/>
  <c r="Z9" i="85"/>
  <c r="W9" i="85"/>
  <c r="U9" i="85"/>
  <c r="S9" i="85"/>
  <c r="W8" i="85"/>
  <c r="U8" i="85"/>
  <c r="S8" i="85"/>
  <c r="W7" i="85"/>
  <c r="U7" i="85"/>
  <c r="S7" i="85"/>
  <c r="C33" i="21"/>
  <c r="I7" i="21"/>
  <c r="G7" i="21"/>
  <c r="E7" i="21"/>
  <c r="B29" i="1"/>
  <c r="D89" i="39"/>
  <c r="E89" i="39"/>
  <c r="F15" i="39"/>
  <c r="AA15" i="39"/>
  <c r="D95" i="39"/>
  <c r="E95" i="39"/>
  <c r="F21" i="39"/>
  <c r="AA21" i="39"/>
  <c r="D101" i="39"/>
  <c r="E101" i="39"/>
  <c r="F27" i="39"/>
  <c r="AA27" i="39"/>
  <c r="D107" i="39"/>
  <c r="E107" i="39"/>
  <c r="F32" i="39"/>
  <c r="AA32" i="39"/>
  <c r="D71" i="39"/>
  <c r="E71" i="39"/>
  <c r="F7" i="39"/>
  <c r="AA7" i="39"/>
  <c r="G8" i="1"/>
  <c r="G6" i="1"/>
  <c r="G7" i="1"/>
  <c r="K6" i="1"/>
  <c r="K7" i="1"/>
  <c r="K9" i="1"/>
  <c r="K10" i="1"/>
  <c r="K11" i="1"/>
  <c r="K12" i="1"/>
  <c r="K13" i="1"/>
  <c r="H15" i="39"/>
  <c r="AB15" i="39"/>
  <c r="H21" i="39"/>
  <c r="AB21" i="39"/>
  <c r="H27" i="39"/>
  <c r="AB27" i="39"/>
  <c r="H32" i="39"/>
  <c r="AB32" i="39"/>
  <c r="F71" i="39"/>
  <c r="G71" i="39"/>
  <c r="H71" i="39"/>
  <c r="I71" i="39"/>
  <c r="H7" i="39"/>
  <c r="AB7" i="39"/>
  <c r="J15" i="39"/>
  <c r="AC15" i="39"/>
  <c r="J21" i="39"/>
  <c r="AC21" i="39"/>
  <c r="J27" i="39"/>
  <c r="AC27" i="39"/>
  <c r="J32" i="39"/>
  <c r="AC32" i="39"/>
  <c r="J71" i="39"/>
  <c r="K71" i="39"/>
  <c r="L71" i="39"/>
  <c r="J7" i="39"/>
  <c r="AC7" i="39"/>
  <c r="BD11" i="3"/>
  <c r="C38" i="39"/>
  <c r="I38" i="39"/>
  <c r="G38" i="39"/>
  <c r="E38" i="39"/>
  <c r="I11" i="39"/>
  <c r="G11" i="39"/>
  <c r="E11" i="39"/>
  <c r="I7" i="6"/>
  <c r="C11" i="39"/>
  <c r="C10" i="39"/>
  <c r="G1" i="68"/>
  <c r="E5" i="6"/>
  <c r="D9" i="68" s="1"/>
  <c r="C9" i="68" s="1"/>
  <c r="U8" i="1"/>
  <c r="N8" i="1"/>
  <c r="N7" i="1"/>
  <c r="L7" i="1"/>
  <c r="F20" i="6"/>
  <c r="F19" i="6"/>
  <c r="K13" i="3"/>
  <c r="I13" i="3"/>
  <c r="I46" i="39"/>
  <c r="G46" i="39"/>
  <c r="E46" i="39"/>
  <c r="I7" i="39"/>
  <c r="G7" i="39"/>
  <c r="E7" i="39"/>
  <c r="I5" i="39"/>
  <c r="G5" i="39"/>
  <c r="E5" i="39"/>
  <c r="J83" i="83"/>
  <c r="J84" i="83" s="1"/>
  <c r="J73" i="83"/>
  <c r="J77" i="83" s="1"/>
  <c r="J78" i="83" s="1"/>
  <c r="A6" i="1"/>
  <c r="A7" i="1"/>
  <c r="A8" i="1"/>
  <c r="E19" i="6"/>
  <c r="M6" i="1"/>
  <c r="O6" i="1"/>
  <c r="P6" i="1" s="1"/>
  <c r="E20" i="6"/>
  <c r="M7" i="1"/>
  <c r="O7" i="1" s="1"/>
  <c r="P7" i="1" s="1"/>
  <c r="M9" i="1"/>
  <c r="O9" i="1" s="1"/>
  <c r="P9" i="1" s="1"/>
  <c r="M10" i="1"/>
  <c r="O10" i="1"/>
  <c r="P10" i="1" s="1"/>
  <c r="M11" i="1"/>
  <c r="O11" i="1" s="1"/>
  <c r="P11" i="1" s="1"/>
  <c r="M12" i="1"/>
  <c r="O12" i="1" s="1"/>
  <c r="P12" i="1" s="1"/>
  <c r="M13" i="1"/>
  <c r="O13" i="1" s="1"/>
  <c r="P13" i="1" s="1"/>
  <c r="K14" i="1"/>
  <c r="M14" i="1" s="1"/>
  <c r="BB13" i="3"/>
  <c r="BC13" i="3"/>
  <c r="BB5" i="3"/>
  <c r="BC5" i="3"/>
  <c r="J74" i="83"/>
  <c r="K74" i="83" s="1"/>
  <c r="J75" i="83"/>
  <c r="K75" i="83" s="1"/>
  <c r="O75" i="83" s="1"/>
  <c r="J76" i="83"/>
  <c r="N76" i="83" s="1"/>
  <c r="K76" i="83"/>
  <c r="O76" i="83" s="1"/>
  <c r="J60" i="83"/>
  <c r="J62" i="83"/>
  <c r="J65" i="83"/>
  <c r="N64" i="83" s="1"/>
  <c r="H65" i="83"/>
  <c r="K65" i="83"/>
  <c r="O74" i="83" s="1"/>
  <c r="L74" i="83"/>
  <c r="J57" i="83"/>
  <c r="H64" i="83"/>
  <c r="K73" i="83"/>
  <c r="I64" i="83"/>
  <c r="I65" i="83"/>
  <c r="I66" i="83"/>
  <c r="I67" i="83"/>
  <c r="I68" i="83"/>
  <c r="H66" i="83"/>
  <c r="H67" i="83"/>
  <c r="H68" i="83"/>
  <c r="J59" i="83"/>
  <c r="J67" i="83" s="1"/>
  <c r="J58" i="83"/>
  <c r="J66" i="83" s="1"/>
  <c r="N65" i="83"/>
  <c r="K47" i="83"/>
  <c r="M42" i="83"/>
  <c r="Q43" i="83"/>
  <c r="N43" i="83"/>
  <c r="M43" i="83"/>
  <c r="M44" i="83"/>
  <c r="N44" i="83"/>
  <c r="H42" i="83"/>
  <c r="H1" i="83"/>
  <c r="G230" i="82"/>
  <c r="D229" i="82"/>
  <c r="C229" i="82"/>
  <c r="D228" i="82"/>
  <c r="C228" i="82"/>
  <c r="D227" i="82"/>
  <c r="C227" i="82"/>
  <c r="D226" i="82"/>
  <c r="C226" i="82"/>
  <c r="D225" i="82"/>
  <c r="C225" i="82"/>
  <c r="D224" i="82"/>
  <c r="C224" i="82"/>
  <c r="D223" i="82"/>
  <c r="C223" i="82"/>
  <c r="D222" i="82"/>
  <c r="C222" i="82"/>
  <c r="D221" i="82"/>
  <c r="C221" i="82"/>
  <c r="D220" i="82"/>
  <c r="C220" i="82"/>
  <c r="D219" i="82"/>
  <c r="C219" i="82"/>
  <c r="D218" i="82"/>
  <c r="C218" i="82"/>
  <c r="D217" i="82"/>
  <c r="C217" i="82"/>
  <c r="D216" i="82"/>
  <c r="C216" i="82"/>
  <c r="D215" i="82"/>
  <c r="C215" i="82"/>
  <c r="D214" i="82"/>
  <c r="C214" i="82"/>
  <c r="D213" i="82"/>
  <c r="C213" i="82"/>
  <c r="D212" i="82"/>
  <c r="C212" i="82"/>
  <c r="D211" i="82"/>
  <c r="C211" i="82"/>
  <c r="D210" i="82"/>
  <c r="C210" i="82"/>
  <c r="D209" i="82"/>
  <c r="C209" i="82"/>
  <c r="D208" i="82"/>
  <c r="C208" i="82"/>
  <c r="D207" i="82"/>
  <c r="C207" i="82"/>
  <c r="D206" i="82"/>
  <c r="C206" i="82"/>
  <c r="D205" i="82"/>
  <c r="C205" i="82"/>
  <c r="D204" i="82"/>
  <c r="C204" i="82"/>
  <c r="D203" i="82"/>
  <c r="C203" i="82"/>
  <c r="D202" i="82"/>
  <c r="C202" i="82"/>
  <c r="D201" i="82"/>
  <c r="C201" i="82"/>
  <c r="D200" i="82"/>
  <c r="C200" i="82"/>
  <c r="D199" i="82"/>
  <c r="C199" i="82"/>
  <c r="D198" i="82"/>
  <c r="C198" i="82"/>
  <c r="D197" i="82"/>
  <c r="C197" i="82"/>
  <c r="D196" i="82"/>
  <c r="C196" i="82"/>
  <c r="D195" i="82"/>
  <c r="C195" i="82"/>
  <c r="D194" i="82"/>
  <c r="C194" i="82"/>
  <c r="D193" i="82"/>
  <c r="C193" i="82"/>
  <c r="D192" i="82"/>
  <c r="C192" i="82"/>
  <c r="D191" i="82"/>
  <c r="C191" i="82"/>
  <c r="D190" i="82"/>
  <c r="C190" i="82"/>
  <c r="D189" i="82"/>
  <c r="C189" i="82"/>
  <c r="D188" i="82"/>
  <c r="C188" i="82"/>
  <c r="D187" i="82"/>
  <c r="C187" i="82"/>
  <c r="D186" i="82"/>
  <c r="C186" i="82"/>
  <c r="D185" i="82"/>
  <c r="C185" i="82"/>
  <c r="D184" i="82"/>
  <c r="C184" i="82"/>
  <c r="D183" i="82"/>
  <c r="C183" i="82"/>
  <c r="D182" i="82"/>
  <c r="C182" i="82"/>
  <c r="D181" i="82"/>
  <c r="C181" i="82"/>
  <c r="D180" i="82"/>
  <c r="C180" i="82"/>
  <c r="D179" i="82"/>
  <c r="C179" i="82"/>
  <c r="D178" i="82"/>
  <c r="C178" i="82"/>
  <c r="D177" i="82"/>
  <c r="C177" i="82"/>
  <c r="D176" i="82"/>
  <c r="C176" i="82"/>
  <c r="D175" i="82"/>
  <c r="C175" i="82"/>
  <c r="D174" i="82"/>
  <c r="C174" i="82"/>
  <c r="D173" i="82"/>
  <c r="C173" i="82"/>
  <c r="D172" i="82"/>
  <c r="C172" i="82"/>
  <c r="D171" i="82"/>
  <c r="C171" i="82"/>
  <c r="D170" i="82"/>
  <c r="C170" i="82"/>
  <c r="D169" i="82"/>
  <c r="C169" i="82"/>
  <c r="D168" i="82"/>
  <c r="C168" i="82"/>
  <c r="D167" i="82"/>
  <c r="C167" i="82"/>
  <c r="D166" i="82"/>
  <c r="C166" i="82"/>
  <c r="D165" i="82"/>
  <c r="C165" i="82"/>
  <c r="D164" i="82"/>
  <c r="C164" i="82"/>
  <c r="D163" i="82"/>
  <c r="C163" i="82"/>
  <c r="D162" i="82"/>
  <c r="C162" i="82"/>
  <c r="D161" i="82"/>
  <c r="C161" i="82"/>
  <c r="D160" i="82"/>
  <c r="C160" i="82"/>
  <c r="D159" i="82"/>
  <c r="C159" i="82"/>
  <c r="D158" i="82"/>
  <c r="C158" i="82"/>
  <c r="D157" i="82"/>
  <c r="C157" i="82"/>
  <c r="D156" i="82"/>
  <c r="C156" i="82"/>
  <c r="D155" i="82"/>
  <c r="C155" i="82"/>
  <c r="D154" i="82"/>
  <c r="C154" i="82"/>
  <c r="D153" i="82"/>
  <c r="C153" i="82"/>
  <c r="D152" i="82"/>
  <c r="C152" i="82"/>
  <c r="D151" i="82"/>
  <c r="C151" i="82"/>
  <c r="D150" i="82"/>
  <c r="C150" i="82"/>
  <c r="D149" i="82"/>
  <c r="C149" i="82"/>
  <c r="D148" i="82"/>
  <c r="C148" i="82"/>
  <c r="D147" i="82"/>
  <c r="C147" i="82"/>
  <c r="D146" i="82"/>
  <c r="C146" i="82"/>
  <c r="D145" i="82"/>
  <c r="C145" i="82"/>
  <c r="D144" i="82"/>
  <c r="C144" i="82"/>
  <c r="D143" i="82"/>
  <c r="C143" i="82"/>
  <c r="D142" i="82"/>
  <c r="C142" i="82"/>
  <c r="D141" i="82"/>
  <c r="C141" i="82"/>
  <c r="D140" i="82"/>
  <c r="C140" i="82"/>
  <c r="D139" i="82"/>
  <c r="C139" i="82"/>
  <c r="D138" i="82"/>
  <c r="C138" i="82"/>
  <c r="D137" i="82"/>
  <c r="C137" i="82"/>
  <c r="D136" i="82"/>
  <c r="C136" i="82"/>
  <c r="D135" i="82"/>
  <c r="C135" i="82"/>
  <c r="D134" i="82"/>
  <c r="C134" i="82"/>
  <c r="D133" i="82"/>
  <c r="C133" i="82"/>
  <c r="D132" i="82"/>
  <c r="C132" i="82"/>
  <c r="D131" i="82"/>
  <c r="C131" i="82"/>
  <c r="D130" i="82"/>
  <c r="C130" i="82"/>
  <c r="D129" i="82"/>
  <c r="C129" i="82"/>
  <c r="D128" i="82"/>
  <c r="C128" i="82"/>
  <c r="D127" i="82"/>
  <c r="C127" i="82"/>
  <c r="D126" i="82"/>
  <c r="C126" i="82"/>
  <c r="D125" i="82"/>
  <c r="C125" i="82"/>
  <c r="D124" i="82"/>
  <c r="C124" i="82"/>
  <c r="D123" i="82"/>
  <c r="C123" i="82"/>
  <c r="D122" i="82"/>
  <c r="C122" i="82"/>
  <c r="D121" i="82"/>
  <c r="C121" i="82"/>
  <c r="D120" i="82"/>
  <c r="C120" i="82"/>
  <c r="D119" i="82"/>
  <c r="C119" i="82"/>
  <c r="D118" i="82"/>
  <c r="C118" i="82"/>
  <c r="D117" i="82"/>
  <c r="C117" i="82"/>
  <c r="D116" i="82"/>
  <c r="C116" i="82"/>
  <c r="D115" i="82"/>
  <c r="C115" i="82"/>
  <c r="D114" i="82"/>
  <c r="C114" i="82"/>
  <c r="D113" i="82"/>
  <c r="C113" i="82"/>
  <c r="D112" i="82"/>
  <c r="C112" i="82"/>
  <c r="D111" i="82"/>
  <c r="C111" i="82"/>
  <c r="D110" i="82"/>
  <c r="C110" i="82"/>
  <c r="D109" i="82"/>
  <c r="C109" i="82"/>
  <c r="D108" i="82"/>
  <c r="C108" i="82"/>
  <c r="D107" i="82"/>
  <c r="C107" i="82"/>
  <c r="D106" i="82"/>
  <c r="C106" i="82"/>
  <c r="D105" i="82"/>
  <c r="C105" i="82"/>
  <c r="D104" i="82"/>
  <c r="C104" i="82"/>
  <c r="D103" i="82"/>
  <c r="C103" i="82"/>
  <c r="D102" i="82"/>
  <c r="C102" i="82"/>
  <c r="D101" i="82"/>
  <c r="C101" i="82"/>
  <c r="D100" i="82"/>
  <c r="C100" i="82"/>
  <c r="D99" i="82"/>
  <c r="C99" i="82"/>
  <c r="D98" i="82"/>
  <c r="C98" i="82"/>
  <c r="D97" i="82"/>
  <c r="C97" i="82"/>
  <c r="D96" i="82"/>
  <c r="C96" i="82"/>
  <c r="D95" i="82"/>
  <c r="C95" i="82"/>
  <c r="D94" i="82"/>
  <c r="C94" i="82"/>
  <c r="D93" i="82"/>
  <c r="C93" i="82"/>
  <c r="D92" i="82"/>
  <c r="C92" i="82"/>
  <c r="D91" i="82"/>
  <c r="C91" i="82"/>
  <c r="D90" i="82"/>
  <c r="C90" i="82"/>
  <c r="D89" i="82"/>
  <c r="C89" i="82"/>
  <c r="D88" i="82"/>
  <c r="C88" i="82"/>
  <c r="D87" i="82"/>
  <c r="C87" i="82"/>
  <c r="D86" i="82"/>
  <c r="C86" i="82"/>
  <c r="D85" i="82"/>
  <c r="C85" i="82"/>
  <c r="D84" i="82"/>
  <c r="C84" i="82"/>
  <c r="D83" i="82"/>
  <c r="C83" i="82"/>
  <c r="D82" i="82"/>
  <c r="C82" i="82"/>
  <c r="D81" i="82"/>
  <c r="C81" i="82"/>
  <c r="D80" i="82"/>
  <c r="C80" i="82"/>
  <c r="D79" i="82"/>
  <c r="C79" i="82"/>
  <c r="D78" i="82"/>
  <c r="C78" i="82"/>
  <c r="D77" i="82"/>
  <c r="C77" i="82"/>
  <c r="D76" i="82"/>
  <c r="C76" i="82"/>
  <c r="D75" i="82"/>
  <c r="C75" i="82"/>
  <c r="D74" i="82"/>
  <c r="C74" i="82"/>
  <c r="D73" i="82"/>
  <c r="C73" i="82"/>
  <c r="D72" i="82"/>
  <c r="C72" i="82"/>
  <c r="D71" i="82"/>
  <c r="C71" i="82"/>
  <c r="D70" i="82"/>
  <c r="C70" i="82"/>
  <c r="D69" i="82"/>
  <c r="C69" i="82"/>
  <c r="D68" i="82"/>
  <c r="C68" i="82"/>
  <c r="D67" i="82"/>
  <c r="C67" i="82"/>
  <c r="D66" i="82"/>
  <c r="C66" i="82"/>
  <c r="D65" i="82"/>
  <c r="C65" i="82"/>
  <c r="D64" i="82"/>
  <c r="C64" i="82"/>
  <c r="D63" i="82"/>
  <c r="C63" i="82"/>
  <c r="D62" i="82"/>
  <c r="C62" i="82"/>
  <c r="D61" i="82"/>
  <c r="C61" i="82"/>
  <c r="D60" i="82"/>
  <c r="C60" i="82"/>
  <c r="D59" i="82"/>
  <c r="C59" i="82"/>
  <c r="D58" i="82"/>
  <c r="C58" i="82"/>
  <c r="D57" i="82"/>
  <c r="C57" i="82"/>
  <c r="D56" i="82"/>
  <c r="C56" i="82"/>
  <c r="D55" i="82"/>
  <c r="C55" i="82"/>
  <c r="D54" i="82"/>
  <c r="C54" i="82"/>
  <c r="D53" i="82"/>
  <c r="C53" i="82"/>
  <c r="D52" i="82"/>
  <c r="C52" i="82"/>
  <c r="D51" i="82"/>
  <c r="C51" i="82"/>
  <c r="D50" i="82"/>
  <c r="C50" i="82"/>
  <c r="D49" i="82"/>
  <c r="C49" i="82"/>
  <c r="D48" i="82"/>
  <c r="C48" i="82"/>
  <c r="D47" i="82"/>
  <c r="C47" i="82"/>
  <c r="D46" i="82"/>
  <c r="C46" i="82"/>
  <c r="D45" i="82"/>
  <c r="C45" i="82"/>
  <c r="D44" i="82"/>
  <c r="C44" i="82"/>
  <c r="D43" i="82"/>
  <c r="C43" i="82"/>
  <c r="D42" i="82"/>
  <c r="C42" i="82"/>
  <c r="D41" i="82"/>
  <c r="C41" i="82"/>
  <c r="D40" i="82"/>
  <c r="C40" i="82"/>
  <c r="D39" i="82"/>
  <c r="C39" i="82"/>
  <c r="D38" i="82"/>
  <c r="C38" i="82"/>
  <c r="D37" i="82"/>
  <c r="C37" i="82"/>
  <c r="D36" i="82"/>
  <c r="C36" i="82"/>
  <c r="D35" i="82"/>
  <c r="C35" i="82"/>
  <c r="D34" i="82"/>
  <c r="C34" i="82"/>
  <c r="D33" i="82"/>
  <c r="C33" i="82"/>
  <c r="D32" i="82"/>
  <c r="C32" i="82"/>
  <c r="D31" i="82"/>
  <c r="C31" i="82"/>
  <c r="D30" i="82"/>
  <c r="C30" i="82"/>
  <c r="D29" i="82"/>
  <c r="C29" i="82"/>
  <c r="D28" i="82"/>
  <c r="C28" i="82"/>
  <c r="D27" i="82"/>
  <c r="C27" i="82"/>
  <c r="D26" i="82"/>
  <c r="C26" i="82"/>
  <c r="D25" i="82"/>
  <c r="C25" i="82"/>
  <c r="D24" i="82"/>
  <c r="C24" i="82"/>
  <c r="D23" i="82"/>
  <c r="C23" i="82"/>
  <c r="D22" i="82"/>
  <c r="C22" i="82"/>
  <c r="D21" i="82"/>
  <c r="C21" i="82"/>
  <c r="D20" i="82"/>
  <c r="C20" i="82"/>
  <c r="D19" i="82"/>
  <c r="C19" i="82"/>
  <c r="D18" i="82"/>
  <c r="C18" i="82"/>
  <c r="D17" i="82"/>
  <c r="C17" i="82"/>
  <c r="D16" i="82"/>
  <c r="C16" i="82"/>
  <c r="D15" i="82"/>
  <c r="C15" i="82"/>
  <c r="D14" i="82"/>
  <c r="C14" i="82"/>
  <c r="D13" i="82"/>
  <c r="C13" i="82"/>
  <c r="D12" i="82"/>
  <c r="C12" i="82"/>
  <c r="K9" i="82"/>
  <c r="D11" i="82"/>
  <c r="C11" i="82"/>
  <c r="D10" i="82"/>
  <c r="C10" i="82"/>
  <c r="D9" i="82"/>
  <c r="C9" i="82"/>
  <c r="D8" i="82"/>
  <c r="C8" i="82"/>
  <c r="D7" i="82"/>
  <c r="C7" i="82"/>
  <c r="G2" i="82"/>
  <c r="F2" i="82"/>
  <c r="A2" i="82"/>
  <c r="D11" i="81"/>
  <c r="C11" i="81"/>
  <c r="C64" i="79"/>
  <c r="M44" i="79"/>
  <c r="M45" i="79"/>
  <c r="F48" i="79"/>
  <c r="G48" i="79"/>
  <c r="M41" i="79"/>
  <c r="M42" i="79"/>
  <c r="M46" i="79"/>
  <c r="L46" i="79"/>
  <c r="C39" i="79"/>
  <c r="C38" i="79"/>
  <c r="O28" i="79"/>
  <c r="L28" i="79"/>
  <c r="K28" i="79"/>
  <c r="J28" i="79"/>
  <c r="F18" i="79"/>
  <c r="G18" i="79"/>
  <c r="K11" i="79"/>
  <c r="K12" i="79"/>
  <c r="J17" i="79"/>
  <c r="N11" i="79"/>
  <c r="N12" i="79"/>
  <c r="N13" i="79"/>
  <c r="M11" i="79"/>
  <c r="M12" i="79"/>
  <c r="M13" i="79"/>
  <c r="K13" i="79"/>
  <c r="C9" i="79"/>
  <c r="J6" i="79"/>
  <c r="J5" i="79"/>
  <c r="J4" i="79"/>
  <c r="J3" i="79"/>
  <c r="M71" i="39"/>
  <c r="N71" i="39"/>
  <c r="O71" i="39"/>
  <c r="F34" i="80"/>
  <c r="E34" i="80"/>
  <c r="D34" i="80"/>
  <c r="I28" i="80"/>
  <c r="L28" i="80" s="1"/>
  <c r="K31" i="80" s="1"/>
  <c r="I29" i="80"/>
  <c r="K29" i="80"/>
  <c r="P23" i="80"/>
  <c r="P22" i="80"/>
  <c r="P21" i="80"/>
  <c r="P20" i="80"/>
  <c r="P19" i="80"/>
  <c r="P18" i="80"/>
  <c r="G18" i="80"/>
  <c r="P17" i="80"/>
  <c r="P16" i="80"/>
  <c r="P15" i="80"/>
  <c r="P14" i="80"/>
  <c r="P13" i="80"/>
  <c r="S12" i="80"/>
  <c r="P12" i="80"/>
  <c r="L12" i="80"/>
  <c r="P11" i="80"/>
  <c r="P10" i="80"/>
  <c r="P9" i="80"/>
  <c r="P8" i="80"/>
  <c r="P7" i="80"/>
  <c r="P6" i="80"/>
  <c r="P5" i="80"/>
  <c r="G5" i="80"/>
  <c r="P4" i="80"/>
  <c r="P3" i="80"/>
  <c r="P2" i="80"/>
  <c r="D3" i="4"/>
  <c r="B9" i="77"/>
  <c r="B5" i="77"/>
  <c r="B10" i="77"/>
  <c r="C1" i="73"/>
  <c r="J1" i="73"/>
  <c r="G20" i="43"/>
  <c r="I15" i="4"/>
  <c r="I20" i="43"/>
  <c r="J20" i="43"/>
  <c r="C20" i="43"/>
  <c r="B2" i="1"/>
  <c r="G19" i="43"/>
  <c r="M19" i="43"/>
  <c r="G2" i="43"/>
  <c r="C6" i="43"/>
  <c r="G3" i="43"/>
  <c r="F22" i="43" s="1"/>
  <c r="C18" i="43"/>
  <c r="C24" i="43"/>
  <c r="BB10" i="3"/>
  <c r="AH5" i="71"/>
  <c r="AG5" i="71"/>
  <c r="AE5" i="71"/>
  <c r="AF5" i="71"/>
  <c r="AD5" i="71"/>
  <c r="Q5" i="71"/>
  <c r="Q6" i="71"/>
  <c r="P5" i="71"/>
  <c r="P6" i="71"/>
  <c r="O5" i="71"/>
  <c r="O6" i="71"/>
  <c r="N5" i="71"/>
  <c r="N6" i="71"/>
  <c r="J50"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P7" i="71"/>
  <c r="O7" i="71"/>
  <c r="N7" i="71"/>
  <c r="AD8" i="71"/>
  <c r="AH8" i="71"/>
  <c r="AG8" i="71"/>
  <c r="AE8" i="71"/>
  <c r="AF8" i="71"/>
  <c r="Q8" i="71"/>
  <c r="P8" i="71"/>
  <c r="O8" i="71"/>
  <c r="N8" i="71"/>
  <c r="L3" i="71"/>
  <c r="AH3" i="71"/>
  <c r="K3" i="71"/>
  <c r="AG3" i="71"/>
  <c r="J3" i="71"/>
  <c r="AE3" i="71"/>
  <c r="I3" i="71"/>
  <c r="AH9" i="71"/>
  <c r="AG9" i="71"/>
  <c r="AE9" i="71"/>
  <c r="AF9" i="71"/>
  <c r="AD9" i="71"/>
  <c r="Q9" i="71"/>
  <c r="Q10" i="71"/>
  <c r="P9" i="71"/>
  <c r="P10" i="71"/>
  <c r="O9" i="71"/>
  <c r="O10" i="71"/>
  <c r="N9" i="71"/>
  <c r="N10" i="71"/>
  <c r="N11" i="71"/>
  <c r="AH10" i="71"/>
  <c r="AG10" i="71"/>
  <c r="AE10" i="71"/>
  <c r="AF10" i="71"/>
  <c r="AD10" i="71"/>
  <c r="Q11" i="71"/>
  <c r="F11" i="71"/>
  <c r="F10" i="71"/>
  <c r="P11" i="71"/>
  <c r="O11" i="71"/>
  <c r="D13" i="71"/>
  <c r="AH11" i="71"/>
  <c r="AG11" i="71"/>
  <c r="AE11" i="71"/>
  <c r="AF11" i="71"/>
  <c r="AD11" i="71"/>
  <c r="BE13" i="3"/>
  <c r="BF13" i="3"/>
  <c r="BG13" i="3"/>
  <c r="BH13" i="3"/>
  <c r="BI13" i="3"/>
  <c r="BJ13" i="3"/>
  <c r="BK13" i="3"/>
  <c r="BM13" i="3"/>
  <c r="BN13" i="3"/>
  <c r="BO13" i="3"/>
  <c r="BP13" i="3"/>
  <c r="BQ13" i="3"/>
  <c r="BR13" i="3"/>
  <c r="BS13" i="3"/>
  <c r="BT13" i="3"/>
  <c r="AD12" i="71"/>
  <c r="AG12" i="71"/>
  <c r="AH12" i="71"/>
  <c r="AE12" i="71"/>
  <c r="AF12" i="71"/>
  <c r="N12" i="71"/>
  <c r="Q12" i="71"/>
  <c r="P12" i="71"/>
  <c r="O12" i="71"/>
  <c r="C12" i="71"/>
  <c r="Q13" i="71"/>
  <c r="F12" i="71"/>
  <c r="P13" i="71"/>
  <c r="E12" i="71"/>
  <c r="O13" i="71"/>
  <c r="N13" i="71"/>
  <c r="B12" i="71"/>
  <c r="A2" i="53"/>
  <c r="B19" i="72"/>
  <c r="K59" i="67"/>
  <c r="K59" i="15"/>
  <c r="D116" i="39"/>
  <c r="E116" i="39"/>
  <c r="F116" i="39"/>
  <c r="G116" i="39"/>
  <c r="H116" i="39"/>
  <c r="I116" i="39"/>
  <c r="J116" i="39"/>
  <c r="K116" i="39"/>
  <c r="L116" i="39"/>
  <c r="M116" i="39"/>
  <c r="C116" i="39"/>
  <c r="A21" i="62"/>
  <c r="B67" i="72"/>
  <c r="A20" i="62"/>
  <c r="B66" i="72"/>
  <c r="A22" i="51"/>
  <c r="A21" i="51"/>
  <c r="B16" i="72"/>
  <c r="A20" i="51"/>
  <c r="A14" i="62"/>
  <c r="A13" i="62"/>
  <c r="B59" i="72"/>
  <c r="A19" i="62"/>
  <c r="B65" i="72"/>
  <c r="A12" i="62"/>
  <c r="B58" i="72"/>
  <c r="A120" i="9"/>
  <c r="H2" i="52"/>
  <c r="A1" i="52"/>
  <c r="A3" i="53"/>
  <c r="Q14" i="71"/>
  <c r="AB13" i="71"/>
  <c r="P14" i="71"/>
  <c r="O14" i="71"/>
  <c r="N14" i="71"/>
  <c r="A15" i="51"/>
  <c r="B12" i="72"/>
  <c r="C76" i="9"/>
  <c r="I107" i="40"/>
  <c r="K6" i="4"/>
  <c r="B22" i="31"/>
  <c r="N56" i="9"/>
  <c r="M56" i="9"/>
  <c r="K56" i="9"/>
  <c r="E18" i="74"/>
  <c r="F18" i="74"/>
  <c r="E19" i="74"/>
  <c r="F19" i="74"/>
  <c r="E20" i="74"/>
  <c r="F20" i="74"/>
  <c r="E21" i="74"/>
  <c r="F21" i="74"/>
  <c r="E22" i="74"/>
  <c r="F22" i="74"/>
  <c r="E23" i="74"/>
  <c r="F23" i="74"/>
  <c r="B3" i="74"/>
  <c r="C91" i="9"/>
  <c r="B8" i="72"/>
  <c r="O15" i="71"/>
  <c r="P15" i="71"/>
  <c r="AA15" i="71"/>
  <c r="Q15" i="71"/>
  <c r="N15" i="71"/>
  <c r="X13"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G9" i="43"/>
  <c r="AF9" i="43"/>
  <c r="AE9" i="43"/>
  <c r="AD9" i="43"/>
  <c r="AC9" i="43"/>
  <c r="AB9" i="43"/>
  <c r="AB12" i="43"/>
  <c r="AA9" i="43"/>
  <c r="AA12" i="43"/>
  <c r="Z9" i="43"/>
  <c r="AA10" i="43"/>
  <c r="AB10" i="43"/>
  <c r="AJ10" i="43"/>
  <c r="K49" i="9"/>
  <c r="E107" i="9"/>
  <c r="A122" i="9"/>
  <c r="A8" i="52"/>
  <c r="E111" i="9"/>
  <c r="A126" i="9"/>
  <c r="A12" i="52"/>
  <c r="B56" i="72"/>
  <c r="E109" i="9"/>
  <c r="A124" i="9"/>
  <c r="A10" i="52"/>
  <c r="B55" i="72"/>
  <c r="B44" i="72"/>
  <c r="B42" i="72"/>
  <c r="B69" i="72"/>
  <c r="B68" i="72"/>
  <c r="B63" i="72"/>
  <c r="B62" i="72"/>
  <c r="B60" i="72"/>
  <c r="B10" i="72"/>
  <c r="C53" i="10"/>
  <c r="B51" i="10"/>
  <c r="A18" i="51"/>
  <c r="B13" i="72"/>
  <c r="B49" i="48"/>
  <c r="B5" i="72"/>
  <c r="I19" i="43"/>
  <c r="D77" i="71"/>
  <c r="F76" i="71"/>
  <c r="F75" i="71"/>
  <c r="F74" i="71"/>
  <c r="E76" i="71"/>
  <c r="E75" i="71"/>
  <c r="E74" i="71"/>
  <c r="C76" i="71"/>
  <c r="D76" i="71"/>
  <c r="B76"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E56" i="71"/>
  <c r="P56" i="71"/>
  <c r="C56" i="71"/>
  <c r="B56" i="71"/>
  <c r="S56" i="71"/>
  <c r="B55"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E39" i="71"/>
  <c r="E40" i="71"/>
  <c r="U40" i="71"/>
  <c r="O37" i="71"/>
  <c r="C38" i="71"/>
  <c r="D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B31" i="71"/>
  <c r="B32" i="71"/>
  <c r="S32" i="71"/>
  <c r="Q29" i="71"/>
  <c r="F30" i="71"/>
  <c r="F31" i="71"/>
  <c r="F32" i="71"/>
  <c r="V32" i="71"/>
  <c r="P29" i="71"/>
  <c r="E30" i="71"/>
  <c r="E31" i="71"/>
  <c r="E32" i="71"/>
  <c r="U32" i="71"/>
  <c r="O29" i="71"/>
  <c r="C30" i="71"/>
  <c r="C31" i="71"/>
  <c r="N29" i="71"/>
  <c r="B30" i="71"/>
  <c r="D29" i="71"/>
  <c r="Q28" i="71"/>
  <c r="P28" i="71"/>
  <c r="O28" i="71"/>
  <c r="N28" i="71"/>
  <c r="AB27" i="71"/>
  <c r="Q27" i="71"/>
  <c r="P27" i="71"/>
  <c r="AA27" i="71"/>
  <c r="O27" i="71"/>
  <c r="Y27" i="71"/>
  <c r="Z27" i="71"/>
  <c r="N27" i="71"/>
  <c r="X27" i="71"/>
  <c r="Q26" i="71"/>
  <c r="AB26" i="71"/>
  <c r="P26" i="71"/>
  <c r="O26" i="71"/>
  <c r="N26" i="71"/>
  <c r="X26" i="71"/>
  <c r="Q25" i="71"/>
  <c r="P25" i="71"/>
  <c r="O25" i="71"/>
  <c r="C26" i="71"/>
  <c r="N25" i="71"/>
  <c r="X25" i="71"/>
  <c r="D25" i="71"/>
  <c r="Q24" i="71"/>
  <c r="P24" i="71"/>
  <c r="AA24" i="71"/>
  <c r="O24" i="71"/>
  <c r="Y24" i="71"/>
  <c r="Z24" i="71"/>
  <c r="N24" i="71"/>
  <c r="Q23" i="71"/>
  <c r="P23" i="71"/>
  <c r="AA21" i="71"/>
  <c r="O23" i="71"/>
  <c r="Y23" i="71"/>
  <c r="Z23" i="71"/>
  <c r="N23" i="71"/>
  <c r="Q22" i="71"/>
  <c r="P22" i="71"/>
  <c r="O22" i="71"/>
  <c r="N22" i="71"/>
  <c r="Q21" i="71"/>
  <c r="P21" i="71"/>
  <c r="O21" i="71"/>
  <c r="Y21" i="71"/>
  <c r="Z21" i="71"/>
  <c r="N21" i="71"/>
  <c r="D21" i="71"/>
  <c r="Q20" i="71"/>
  <c r="AB20" i="71"/>
  <c r="P20" i="71"/>
  <c r="O20" i="71"/>
  <c r="Y20" i="71"/>
  <c r="Z20" i="71"/>
  <c r="N20" i="71"/>
  <c r="Q19" i="71"/>
  <c r="AB15" i="71"/>
  <c r="P19" i="71"/>
  <c r="O19" i="71"/>
  <c r="Y19" i="71"/>
  <c r="Z19" i="71"/>
  <c r="N19" i="71"/>
  <c r="Q18" i="71"/>
  <c r="P18" i="71"/>
  <c r="O18" i="71"/>
  <c r="N18" i="71"/>
  <c r="Q17" i="71"/>
  <c r="P17" i="71"/>
  <c r="O17" i="71"/>
  <c r="N17" i="71"/>
  <c r="D17" i="71"/>
  <c r="O16" i="71"/>
  <c r="C16" i="71"/>
  <c r="N16" i="71"/>
  <c r="B16" i="71"/>
  <c r="B18" i="71"/>
  <c r="B19" i="71"/>
  <c r="B20" i="71"/>
  <c r="S20" i="71"/>
  <c r="E18" i="71"/>
  <c r="E19" i="71"/>
  <c r="E20" i="71"/>
  <c r="U20" i="71"/>
  <c r="B22" i="71"/>
  <c r="B23" i="71"/>
  <c r="B24" i="71"/>
  <c r="S24" i="71"/>
  <c r="B26" i="71"/>
  <c r="B27" i="71"/>
  <c r="B28" i="71"/>
  <c r="S28" i="71"/>
  <c r="E26" i="71"/>
  <c r="E27" i="71"/>
  <c r="E28" i="71"/>
  <c r="U28" i="71"/>
  <c r="AA25" i="71"/>
  <c r="N56" i="71"/>
  <c r="E22" i="71"/>
  <c r="E23" i="71"/>
  <c r="E24" i="71"/>
  <c r="U24" i="71"/>
  <c r="C18" i="71"/>
  <c r="D18" i="71"/>
  <c r="X19" i="71"/>
  <c r="AB21" i="71"/>
  <c r="AA23" i="71"/>
  <c r="Y25" i="71"/>
  <c r="Z25" i="71"/>
  <c r="AA26" i="71"/>
  <c r="C19" i="71"/>
  <c r="D19" i="71"/>
  <c r="D30" i="71"/>
  <c r="C39" i="71"/>
  <c r="P16" i="71"/>
  <c r="E43" i="71"/>
  <c r="E44" i="71"/>
  <c r="U44" i="71"/>
  <c r="E47" i="71"/>
  <c r="E48" i="71"/>
  <c r="U48" i="71"/>
  <c r="U56" i="71"/>
  <c r="E55" i="71"/>
  <c r="E54" i="71"/>
  <c r="Q16" i="71"/>
  <c r="C47" i="71"/>
  <c r="N55" i="71"/>
  <c r="B54" i="71"/>
  <c r="O56" i="71"/>
  <c r="C59" i="71"/>
  <c r="D59" i="71"/>
  <c r="E59" i="71"/>
  <c r="E58" i="71"/>
  <c r="D60" i="71"/>
  <c r="C63" i="71"/>
  <c r="C62" i="71"/>
  <c r="D62" i="71"/>
  <c r="E63" i="71"/>
  <c r="E62" i="71"/>
  <c r="C67" i="71"/>
  <c r="C66" i="71"/>
  <c r="D66" i="71"/>
  <c r="E67" i="71"/>
  <c r="E66" i="71"/>
  <c r="D68" i="71"/>
  <c r="C71" i="71"/>
  <c r="D71" i="71"/>
  <c r="C75" i="71"/>
  <c r="D75" i="71"/>
  <c r="F16" i="71"/>
  <c r="F15" i="71"/>
  <c r="F14" i="71"/>
  <c r="E16" i="71"/>
  <c r="E15" i="71"/>
  <c r="E14" i="71"/>
  <c r="C70" i="71"/>
  <c r="D70" i="71"/>
  <c r="N53" i="71"/>
  <c r="N54" i="71"/>
  <c r="C74" i="71"/>
  <c r="D74" i="71"/>
  <c r="D67" i="71"/>
  <c r="C58" i="71"/>
  <c r="D58" i="71"/>
  <c r="C20"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1" i="21"/>
  <c r="H19" i="21"/>
  <c r="D83" i="21"/>
  <c r="F21" i="21"/>
  <c r="AA21" i="21"/>
  <c r="G20" i="20"/>
  <c r="B86" i="43"/>
  <c r="C22" i="20"/>
  <c r="B75" i="43"/>
  <c r="B55" i="43"/>
  <c r="B66" i="43"/>
  <c r="C25" i="40"/>
  <c r="C29" i="39"/>
  <c r="S25" i="40"/>
  <c r="S21" i="34"/>
  <c r="H25" i="40"/>
  <c r="J25" i="40"/>
  <c r="AC25" i="40"/>
  <c r="H29" i="39"/>
  <c r="J29" i="39"/>
  <c r="W29" i="39"/>
  <c r="J18" i="36"/>
  <c r="F68" i="35"/>
  <c r="G68" i="35"/>
  <c r="H18" i="35"/>
  <c r="S18" i="35"/>
  <c r="J18" i="35"/>
  <c r="W18" i="35"/>
  <c r="H21" i="37"/>
  <c r="U21" i="37"/>
  <c r="F21" i="37"/>
  <c r="F84" i="34"/>
  <c r="G84" i="34"/>
  <c r="H21" i="34"/>
  <c r="H21" i="33"/>
  <c r="F21" i="33"/>
  <c r="S21" i="33"/>
  <c r="E83" i="21"/>
  <c r="F83" i="21"/>
  <c r="G83" i="21"/>
  <c r="S21" i="21"/>
  <c r="H1" i="69"/>
  <c r="AB25" i="40"/>
  <c r="U25" i="40"/>
  <c r="AB29" i="39"/>
  <c r="U29" i="39"/>
  <c r="AC29" i="39"/>
  <c r="AC18" i="36"/>
  <c r="W18" i="36"/>
  <c r="AB21" i="37"/>
  <c r="AA21" i="37"/>
  <c r="S21" i="37"/>
  <c r="AB21" i="34"/>
  <c r="U21" i="34"/>
  <c r="AA21" i="33"/>
  <c r="AB18" i="35"/>
  <c r="U18" i="35"/>
  <c r="AC18" i="35"/>
  <c r="J21" i="37"/>
  <c r="J21" i="34"/>
  <c r="J21" i="33"/>
  <c r="W21" i="33"/>
  <c r="H21" i="21"/>
  <c r="F38" i="69"/>
  <c r="E37" i="69"/>
  <c r="F36" i="69"/>
  <c r="F35" i="69"/>
  <c r="F21" i="69"/>
  <c r="C21" i="69"/>
  <c r="F20" i="69"/>
  <c r="E10" i="69"/>
  <c r="E9" i="69"/>
  <c r="C7" i="69"/>
  <c r="AC21" i="37"/>
  <c r="W21" i="37"/>
  <c r="AC21" i="34"/>
  <c r="W21" i="34"/>
  <c r="AC21" i="33"/>
  <c r="J21" i="21"/>
  <c r="W21" i="21"/>
  <c r="F38" i="68"/>
  <c r="E37" i="68"/>
  <c r="F36" i="68"/>
  <c r="F35" i="68"/>
  <c r="F21" i="68"/>
  <c r="C21" i="68"/>
  <c r="F20" i="68"/>
  <c r="E10" i="68"/>
  <c r="E9" i="68"/>
  <c r="AC21" i="21"/>
  <c r="Q72" i="67"/>
  <c r="Q59" i="67"/>
  <c r="Q58" i="67"/>
  <c r="Q51" i="67"/>
  <c r="J50" i="67"/>
  <c r="J51" i="67"/>
  <c r="M47" i="67"/>
  <c r="D46" i="67"/>
  <c r="F33" i="67"/>
  <c r="F61" i="67"/>
  <c r="F23" i="67"/>
  <c r="D24" i="67"/>
  <c r="F21" i="67"/>
  <c r="F20" i="67"/>
  <c r="M19" i="67"/>
  <c r="F18" i="67"/>
  <c r="F17" i="67"/>
  <c r="F15" i="67"/>
  <c r="S2" i="4"/>
  <c r="C51" i="10"/>
  <c r="A13" i="51"/>
  <c r="B11" i="72"/>
  <c r="S1" i="4"/>
  <c r="A4" i="51"/>
  <c r="B6" i="72"/>
  <c r="B1" i="4"/>
  <c r="C31" i="66"/>
  <c r="C27" i="66"/>
  <c r="C32" i="66"/>
  <c r="I23" i="66"/>
  <c r="D20" i="66"/>
  <c r="I19" i="66"/>
  <c r="I18" i="66"/>
  <c r="I17" i="66"/>
  <c r="I20" i="66"/>
  <c r="E15" i="66"/>
  <c r="I14" i="66"/>
  <c r="I13" i="66"/>
  <c r="I12" i="66"/>
  <c r="I9" i="66"/>
  <c r="I8" i="66"/>
  <c r="I7" i="66"/>
  <c r="I6" i="66"/>
  <c r="I5" i="66"/>
  <c r="I4" i="66"/>
  <c r="I3" i="66"/>
  <c r="I10" i="66"/>
  <c r="I21" i="66"/>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D84" i="43"/>
  <c r="D85" i="43"/>
  <c r="D86" i="43"/>
  <c r="K87" i="43"/>
  <c r="D87" i="43"/>
  <c r="K88" i="43"/>
  <c r="D88" i="43"/>
  <c r="K81" i="43"/>
  <c r="D81" i="43"/>
  <c r="E81" i="43"/>
  <c r="B79"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G1" i="15"/>
  <c r="B8" i="1"/>
  <c r="E8" i="1"/>
  <c r="A9" i="1"/>
  <c r="A10" i="1"/>
  <c r="A11" i="1"/>
  <c r="A12" i="1"/>
  <c r="A13" i="1"/>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5" i="62"/>
  <c r="B72" i="72"/>
  <c r="A4" i="62"/>
  <c r="B70" i="72"/>
  <c r="F33" i="9"/>
  <c r="B37" i="48"/>
  <c r="B2" i="72"/>
  <c r="B13" i="53"/>
  <c r="B29" i="72"/>
  <c r="R35" i="4"/>
  <c r="Q35" i="4"/>
  <c r="P35" i="4"/>
  <c r="O35" i="4"/>
  <c r="N35" i="4"/>
  <c r="M35" i="4"/>
  <c r="L35" i="4"/>
  <c r="K34" i="4"/>
  <c r="T34" i="4"/>
  <c r="H15" i="4"/>
  <c r="G15" i="4"/>
  <c r="F8" i="1"/>
  <c r="E15" i="4"/>
  <c r="D15" i="4"/>
  <c r="L21" i="4"/>
  <c r="F19" i="4"/>
  <c r="F2" i="52"/>
  <c r="B50" i="72"/>
  <c r="D2" i="52"/>
  <c r="B46" i="72"/>
  <c r="B8" i="53"/>
  <c r="B23" i="72"/>
  <c r="L4" i="9"/>
  <c r="B17" i="72"/>
  <c r="B15" i="72"/>
  <c r="A3" i="51"/>
  <c r="C8" i="11"/>
  <c r="B2" i="49"/>
  <c r="B7" i="49" s="1"/>
  <c r="E4" i="4" s="1"/>
  <c r="B5" i="62" s="1"/>
  <c r="B73" i="72" s="1"/>
  <c r="B40" i="48"/>
  <c r="B3" i="72"/>
  <c r="I2" i="43"/>
  <c r="N1" i="43"/>
  <c r="F35" i="4"/>
  <c r="J55" i="39"/>
  <c r="H34" i="43"/>
  <c r="H35" i="43"/>
  <c r="H36" i="43"/>
  <c r="H37" i="43"/>
  <c r="H38" i="43"/>
  <c r="H39" i="43"/>
  <c r="H33" i="43"/>
  <c r="F15" i="43"/>
  <c r="E15" i="43"/>
  <c r="D15" i="43"/>
  <c r="C15" i="43"/>
  <c r="C10" i="43"/>
  <c r="C11" i="43"/>
  <c r="C9" i="43"/>
  <c r="A7" i="43"/>
  <c r="F33" i="15"/>
  <c r="F61" i="15"/>
  <c r="M19" i="15"/>
  <c r="B22" i="1"/>
  <c r="G41" i="69"/>
  <c r="B43" i="1"/>
  <c r="D78" i="9"/>
  <c r="BQ14" i="3"/>
  <c r="BQ15" i="3"/>
  <c r="BQ16" i="3"/>
  <c r="BQ17" i="3"/>
  <c r="BS14" i="3"/>
  <c r="BS15" i="3"/>
  <c r="BS16" i="3"/>
  <c r="BS17" i="3"/>
  <c r="BR14" i="3"/>
  <c r="BR15" i="3"/>
  <c r="BR16" i="3"/>
  <c r="BR17" i="3"/>
  <c r="BT14" i="3"/>
  <c r="BT15" i="3"/>
  <c r="BT16" i="3"/>
  <c r="BT17" i="3"/>
  <c r="BM14" i="3"/>
  <c r="BM15" i="3"/>
  <c r="BM16" i="3"/>
  <c r="BL16" i="3"/>
  <c r="BM17" i="3"/>
  <c r="BO14" i="3"/>
  <c r="BO15" i="3"/>
  <c r="BO16" i="3"/>
  <c r="BO17" i="3"/>
  <c r="BN14" i="3"/>
  <c r="BN15" i="3"/>
  <c r="BN16" i="3"/>
  <c r="BN17" i="3"/>
  <c r="BP14" i="3"/>
  <c r="BP15" i="3"/>
  <c r="BP16" i="3"/>
  <c r="BP17" i="3"/>
  <c r="F23" i="15"/>
  <c r="D24" i="15"/>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B11" i="3"/>
  <c r="E19" i="12"/>
  <c r="E20" i="12"/>
  <c r="E17" i="12"/>
  <c r="F22" i="12"/>
  <c r="F23" i="12"/>
  <c r="C17" i="9"/>
  <c r="D17" i="9"/>
  <c r="I55" i="9"/>
  <c r="F55" i="9"/>
  <c r="O53" i="9"/>
  <c r="D89" i="9"/>
  <c r="C89" i="9"/>
  <c r="C87" i="9"/>
  <c r="G12" i="1"/>
  <c r="J55" i="9"/>
  <c r="B31" i="1"/>
  <c r="E19" i="68"/>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S40" i="33"/>
  <c r="J41" i="33"/>
  <c r="D113" i="33"/>
  <c r="F37" i="33"/>
  <c r="D111" i="33"/>
  <c r="E111" i="33"/>
  <c r="F111" i="33"/>
  <c r="S515" i="31"/>
  <c r="S516" i="31"/>
  <c r="S517" i="31"/>
  <c r="S518" i="31"/>
  <c r="S519" i="31"/>
  <c r="S520" i="31"/>
  <c r="S521" i="31"/>
  <c r="S522" i="31"/>
  <c r="S523" i="31"/>
  <c r="S524"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E109" i="39"/>
  <c r="F34" i="39"/>
  <c r="AA34" i="39"/>
  <c r="D105" i="39"/>
  <c r="E105" i="39"/>
  <c r="F105" i="39"/>
  <c r="G105" i="39"/>
  <c r="H105" i="39"/>
  <c r="I105" i="39"/>
  <c r="J105" i="39"/>
  <c r="K105" i="39"/>
  <c r="L105" i="39"/>
  <c r="M105"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J31" i="39"/>
  <c r="D97" i="39"/>
  <c r="J23" i="39"/>
  <c r="AC23" i="39"/>
  <c r="F95" i="39"/>
  <c r="D93" i="39"/>
  <c r="E93" i="39"/>
  <c r="F93" i="39"/>
  <c r="G93" i="39"/>
  <c r="D91" i="39"/>
  <c r="E91" i="39"/>
  <c r="F91" i="39"/>
  <c r="G91" i="39"/>
  <c r="F89" i="39"/>
  <c r="G89" i="39"/>
  <c r="B86" i="39"/>
  <c r="B84" i="39"/>
  <c r="B82" i="39"/>
  <c r="J12" i="39"/>
  <c r="M79" i="39"/>
  <c r="L79" i="39"/>
  <c r="K79" i="39"/>
  <c r="J79" i="39"/>
  <c r="I79" i="39"/>
  <c r="H79" i="39"/>
  <c r="G79" i="39"/>
  <c r="F79" i="39"/>
  <c r="E79" i="39"/>
  <c r="D79" i="39"/>
  <c r="C79" i="39"/>
  <c r="P48" i="39"/>
  <c r="P47" i="39"/>
  <c r="V46" i="39"/>
  <c r="T46" i="39"/>
  <c r="R46" i="39"/>
  <c r="P46"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J23" i="36"/>
  <c r="AC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H27" i="35"/>
  <c r="U27" i="35"/>
  <c r="F27" i="35"/>
  <c r="J22" i="35"/>
  <c r="AC22" i="35"/>
  <c r="B101" i="35"/>
  <c r="B99" i="35"/>
  <c r="B97" i="35"/>
  <c r="B77" i="35"/>
  <c r="B75" i="35"/>
  <c r="J24" i="35"/>
  <c r="AC24" i="35"/>
  <c r="B73" i="35"/>
  <c r="B57" i="35"/>
  <c r="B61" i="35"/>
  <c r="B59" i="35"/>
  <c r="H12" i="35"/>
  <c r="B131" i="34"/>
  <c r="B129" i="34"/>
  <c r="B127" i="34"/>
  <c r="B99" i="34"/>
  <c r="B97" i="34"/>
  <c r="B95" i="34"/>
  <c r="B93" i="34"/>
  <c r="B75" i="34"/>
  <c r="B73" i="34"/>
  <c r="B71" i="34"/>
  <c r="H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F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U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A41" i="21"/>
  <c r="F45" i="39"/>
  <c r="S45" i="39"/>
  <c r="J45" i="39"/>
  <c r="W45" i="39"/>
  <c r="F36" i="39"/>
  <c r="S36" i="39"/>
  <c r="H36" i="39"/>
  <c r="AB36" i="39"/>
  <c r="J36" i="39"/>
  <c r="AC36" i="39"/>
  <c r="W25" i="37"/>
  <c r="U30" i="37"/>
  <c r="W31" i="37"/>
  <c r="F39" i="37"/>
  <c r="S39" i="37"/>
  <c r="U14" i="37"/>
  <c r="F29" i="36"/>
  <c r="AA29" i="36"/>
  <c r="W8" i="36"/>
  <c r="F16" i="36"/>
  <c r="AA16" i="36"/>
  <c r="S30" i="36"/>
  <c r="AA31" i="36"/>
  <c r="AC31" i="36"/>
  <c r="U31" i="36"/>
  <c r="H22" i="35"/>
  <c r="AB22" i="35"/>
  <c r="W28" i="35"/>
  <c r="U31" i="35"/>
  <c r="W22" i="35"/>
  <c r="F36" i="34"/>
  <c r="J35" i="34"/>
  <c r="S34" i="34"/>
  <c r="H39" i="33"/>
  <c r="AB39" i="33"/>
  <c r="S9" i="33"/>
  <c r="U33" i="33"/>
  <c r="U35" i="33"/>
  <c r="W33" i="33"/>
  <c r="W39" i="33"/>
  <c r="H39" i="37"/>
  <c r="AB39" i="37"/>
  <c r="F11" i="40"/>
  <c r="AA11" i="40"/>
  <c r="H11" i="40"/>
  <c r="AB11" i="40"/>
  <c r="W8" i="40"/>
  <c r="AB39" i="40"/>
  <c r="AC40" i="40"/>
  <c r="AA9" i="40"/>
  <c r="AC9" i="40"/>
  <c r="S34" i="40"/>
  <c r="F42" i="39"/>
  <c r="AA42" i="39"/>
  <c r="F41" i="39"/>
  <c r="S41" i="39"/>
  <c r="H40" i="39"/>
  <c r="AB40" i="39"/>
  <c r="H39" i="39"/>
  <c r="U39" i="39"/>
  <c r="S38" i="39"/>
  <c r="S34" i="39"/>
  <c r="H34" i="39"/>
  <c r="U34"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U27" i="39"/>
  <c r="J19" i="39"/>
  <c r="AC19" i="39"/>
  <c r="J17" i="39"/>
  <c r="F11" i="21"/>
  <c r="S11"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6"/>
  <c r="F37" i="39"/>
  <c r="AA37" i="39"/>
  <c r="U30" i="36"/>
  <c r="J30" i="35"/>
  <c r="W30" i="35"/>
  <c r="H30" i="35"/>
  <c r="AB30" i="35"/>
  <c r="F22" i="35"/>
  <c r="AA22" i="35"/>
  <c r="H10" i="35"/>
  <c r="U10" i="35"/>
  <c r="AC16" i="36"/>
  <c r="H16" i="36"/>
  <c r="AB16"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S10" i="37"/>
  <c r="AA39" i="37"/>
  <c r="AB34" i="37"/>
  <c r="J33" i="37"/>
  <c r="AC33" i="37"/>
  <c r="H40" i="34"/>
  <c r="U40" i="34"/>
  <c r="E114" i="34"/>
  <c r="H36" i="34"/>
  <c r="U36" i="34"/>
  <c r="F37" i="34"/>
  <c r="AA37"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J36" i="37"/>
  <c r="AC36" i="37"/>
  <c r="G105" i="37"/>
  <c r="AB11" i="35"/>
  <c r="J10" i="36"/>
  <c r="AC10" i="36"/>
  <c r="AB30" i="21"/>
  <c r="AA14" i="37"/>
  <c r="W31" i="34"/>
  <c r="W13" i="36"/>
  <c r="AB46" i="34"/>
  <c r="AB45" i="33"/>
  <c r="U13" i="33"/>
  <c r="AC28" i="21"/>
  <c r="S44" i="34"/>
  <c r="BA586" i="3"/>
  <c r="BA585" i="3"/>
  <c r="F17" i="21"/>
  <c r="AA17" i="21"/>
  <c r="H17" i="21"/>
  <c r="AB17" i="21"/>
  <c r="F15" i="21"/>
  <c r="S15" i="21"/>
  <c r="AB11" i="21"/>
  <c r="J41" i="39"/>
  <c r="W41" i="39"/>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AZ560" i="3"/>
  <c r="BA558" i="3"/>
  <c r="BA556" i="3"/>
  <c r="AZ556" i="3"/>
  <c r="BA554" i="3"/>
  <c r="AZ554" i="3"/>
  <c r="BA552" i="3"/>
  <c r="AZ552" i="3"/>
  <c r="BA548" i="3"/>
  <c r="BA546" i="3"/>
  <c r="BA544" i="3"/>
  <c r="AZ544" i="3"/>
  <c r="BA542" i="3"/>
  <c r="AZ542" i="3"/>
  <c r="BA540" i="3"/>
  <c r="BA538" i="3"/>
  <c r="AZ538" i="3"/>
  <c r="BA536" i="3"/>
  <c r="AZ536" i="3"/>
  <c r="BA534" i="3"/>
  <c r="AZ534" i="3"/>
  <c r="BA532" i="3"/>
  <c r="AZ532" i="3"/>
  <c r="BA530" i="3"/>
  <c r="BA528" i="3"/>
  <c r="AZ528" i="3"/>
  <c r="BA526" i="3"/>
  <c r="AZ526" i="3"/>
  <c r="BA524" i="3"/>
  <c r="AZ524" i="3"/>
  <c r="BA522" i="3"/>
  <c r="BA520" i="3"/>
  <c r="AZ520" i="3"/>
  <c r="BA518" i="3"/>
  <c r="AZ518" i="3"/>
  <c r="BA516" i="3"/>
  <c r="AZ516" i="3"/>
  <c r="BA514" i="3"/>
  <c r="BA512" i="3"/>
  <c r="AZ512" i="3"/>
  <c r="BA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AZ545" i="3"/>
  <c r="BQ543" i="3"/>
  <c r="BL543" i="3"/>
  <c r="AZ543" i="3"/>
  <c r="BQ541" i="3"/>
  <c r="BL541" i="3"/>
  <c r="BQ539" i="3"/>
  <c r="BL539" i="3"/>
  <c r="AZ539" i="3"/>
  <c r="BQ537" i="3"/>
  <c r="BL537" i="3"/>
  <c r="AZ537" i="3"/>
  <c r="BQ535" i="3"/>
  <c r="BL535" i="3"/>
  <c r="AZ535" i="3"/>
  <c r="BQ533" i="3"/>
  <c r="BL533" i="3"/>
  <c r="BQ531" i="3"/>
  <c r="BL531" i="3"/>
  <c r="AZ531" i="3"/>
  <c r="BQ529" i="3"/>
  <c r="BL529" i="3"/>
  <c r="AZ529" i="3"/>
  <c r="BQ527" i="3"/>
  <c r="BL527" i="3"/>
  <c r="AZ527" i="3"/>
  <c r="BQ525" i="3"/>
  <c r="BL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BQ499" i="3"/>
  <c r="BL499" i="3"/>
  <c r="AZ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AA25" i="21"/>
  <c r="C12" i="43"/>
  <c r="H19" i="40"/>
  <c r="U19" i="40"/>
  <c r="F88" i="40"/>
  <c r="G88" i="40"/>
  <c r="F19" i="40"/>
  <c r="S19" i="40"/>
  <c r="S14" i="40"/>
  <c r="AC13" i="40"/>
  <c r="AB33" i="40"/>
  <c r="W23" i="39"/>
  <c r="AC43" i="39"/>
  <c r="W43" i="39"/>
  <c r="U45" i="39"/>
  <c r="AB45" i="39"/>
  <c r="G101" i="39"/>
  <c r="H37" i="39"/>
  <c r="AB37" i="39"/>
  <c r="AC37" i="39"/>
  <c r="W37" i="39"/>
  <c r="H25" i="39"/>
  <c r="AB25" i="39"/>
  <c r="J25" i="39"/>
  <c r="F25" i="39"/>
  <c r="AA25" i="39"/>
  <c r="U15" i="39"/>
  <c r="W15" i="39"/>
  <c r="H41" i="39"/>
  <c r="W27" i="39"/>
  <c r="AB34" i="39"/>
  <c r="U40" i="39"/>
  <c r="S42" i="39"/>
  <c r="W14" i="39"/>
  <c r="AA41" i="39"/>
  <c r="W9" i="39"/>
  <c r="W8" i="39"/>
  <c r="J19" i="40"/>
  <c r="AC19" i="40"/>
  <c r="J50" i="40"/>
  <c r="B54" i="72"/>
  <c r="H103" i="9"/>
  <c r="D8" i="53"/>
  <c r="B16" i="53"/>
  <c r="B33" i="72"/>
  <c r="C7" i="34"/>
  <c r="W35" i="40"/>
  <c r="A118" i="9"/>
  <c r="J11" i="39"/>
  <c r="W11" i="39"/>
  <c r="F11" i="39"/>
  <c r="AA11" i="39"/>
  <c r="G4" i="4"/>
  <c r="I4" i="4"/>
  <c r="K5" i="4"/>
  <c r="B47" i="48"/>
  <c r="F59" i="43"/>
  <c r="H62" i="43"/>
  <c r="AZ20" i="3"/>
  <c r="AZ32"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AZ325" i="3"/>
  <c r="BL325" i="3"/>
  <c r="G326" i="3"/>
  <c r="BA327" i="3"/>
  <c r="G335" i="3"/>
  <c r="BL336" i="3"/>
  <c r="G337" i="3"/>
  <c r="BL338" i="3"/>
  <c r="BA340" i="3"/>
  <c r="BA341" i="3"/>
  <c r="BL341" i="3"/>
  <c r="AZ341" i="3"/>
  <c r="BA343" i="3"/>
  <c r="BA345" i="3"/>
  <c r="BL355" i="3"/>
  <c r="G356" i="3"/>
  <c r="BL357" i="3"/>
  <c r="BA359" i="3"/>
  <c r="BA360" i="3"/>
  <c r="BL360" i="3"/>
  <c r="G361" i="3"/>
  <c r="BA362" i="3"/>
  <c r="G370" i="3"/>
  <c r="BL371" i="3"/>
  <c r="G372" i="3"/>
  <c r="BL373" i="3"/>
  <c r="BA375" i="3"/>
  <c r="AZ375" i="3"/>
  <c r="BA376" i="3"/>
  <c r="BL376" i="3"/>
  <c r="AZ376" i="3"/>
  <c r="G377" i="3"/>
  <c r="BA378" i="3"/>
  <c r="AZ378" i="3"/>
  <c r="BL378" i="3"/>
  <c r="G379" i="3"/>
  <c r="BA380" i="3"/>
  <c r="G388" i="3"/>
  <c r="BL389" i="3"/>
  <c r="G390" i="3"/>
  <c r="BL391" i="3"/>
  <c r="BA393" i="3"/>
  <c r="AZ393" i="3"/>
  <c r="BA394" i="3"/>
  <c r="AZ394" i="3"/>
  <c r="BL394" i="3"/>
  <c r="G113" i="3"/>
  <c r="BA115" i="3"/>
  <c r="BL116" i="3"/>
  <c r="AZ116" i="3"/>
  <c r="G117" i="3"/>
  <c r="BA119" i="3"/>
  <c r="AZ119" i="3"/>
  <c r="BL120" i="3"/>
  <c r="G121" i="3"/>
  <c r="BA123" i="3"/>
  <c r="AZ123" i="3"/>
  <c r="BL124" i="3"/>
  <c r="G125" i="3"/>
  <c r="BA127" i="3"/>
  <c r="BL128" i="3"/>
  <c r="AZ128" i="3"/>
  <c r="G129" i="3"/>
  <c r="BA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G189" i="3"/>
  <c r="BA191" i="3"/>
  <c r="AZ191" i="3"/>
  <c r="BL192" i="3"/>
  <c r="AZ192" i="3"/>
  <c r="G193" i="3"/>
  <c r="BA195" i="3"/>
  <c r="AZ195" i="3"/>
  <c r="BL196" i="3"/>
  <c r="AZ196" i="3"/>
  <c r="G197" i="3"/>
  <c r="BA199" i="3"/>
  <c r="AZ199" i="3"/>
  <c r="BL200" i="3"/>
  <c r="G201" i="3"/>
  <c r="BA203" i="3"/>
  <c r="AZ203" i="3"/>
  <c r="BL204" i="3"/>
  <c r="AZ51" i="3"/>
  <c r="AZ55" i="3"/>
  <c r="AZ67" i="3"/>
  <c r="AZ71" i="3"/>
  <c r="AZ83" i="3"/>
  <c r="AZ136" i="3"/>
  <c r="AZ144" i="3"/>
  <c r="AZ152" i="3"/>
  <c r="AZ168" i="3"/>
  <c r="AZ176" i="3"/>
  <c r="AZ184" i="3"/>
  <c r="AZ200" i="3"/>
  <c r="AZ85" i="3"/>
  <c r="AZ93" i="3"/>
  <c r="AZ97" i="3"/>
  <c r="AZ120"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BA321" i="3"/>
  <c r="AZ321" i="3"/>
  <c r="BL321" i="3"/>
  <c r="G322" i="3"/>
  <c r="G325" i="3"/>
  <c r="BL326" i="3"/>
  <c r="BA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38" i="3"/>
  <c r="AZ142" i="3"/>
  <c r="AZ146" i="3"/>
  <c r="AZ150" i="3"/>
  <c r="AZ158" i="3"/>
  <c r="AZ162" i="3"/>
  <c r="AZ166" i="3"/>
  <c r="AZ174" i="3"/>
  <c r="AZ178" i="3"/>
  <c r="AZ182" i="3"/>
  <c r="AZ190" i="3"/>
  <c r="AZ194" i="3"/>
  <c r="AZ198" i="3"/>
  <c r="AZ500" i="3"/>
  <c r="BA16" i="3"/>
  <c r="AZ16" i="3"/>
  <c r="BL303" i="3"/>
  <c r="G304" i="3"/>
  <c r="BA306" i="3"/>
  <c r="AZ306" i="3"/>
  <c r="BL307" i="3"/>
  <c r="AZ307" i="3"/>
  <c r="G308" i="3"/>
  <c r="BA310" i="3"/>
  <c r="AZ310" i="3"/>
  <c r="BL311" i="3"/>
  <c r="AZ311" i="3"/>
  <c r="G312" i="3"/>
  <c r="BA314" i="3"/>
  <c r="BL315" i="3"/>
  <c r="AZ315" i="3"/>
  <c r="G316" i="3"/>
  <c r="BA318" i="3"/>
  <c r="BL319" i="3"/>
  <c r="G320" i="3"/>
  <c r="BA322" i="3"/>
  <c r="AZ322" i="3"/>
  <c r="BL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8" i="3"/>
  <c r="AZ303" i="3"/>
  <c r="AZ335" i="3"/>
  <c r="G342" i="3"/>
  <c r="BL345" i="3"/>
  <c r="G346" i="3"/>
  <c r="AZ348" i="3"/>
  <c r="BL349" i="3"/>
  <c r="AZ349" i="3"/>
  <c r="BL352" i="3"/>
  <c r="AZ352" i="3"/>
  <c r="G353" i="3"/>
  <c r="BA357" i="3"/>
  <c r="AZ357" i="3"/>
  <c r="BL358" i="3"/>
  <c r="AZ358" i="3"/>
  <c r="G359" i="3"/>
  <c r="BA361" i="3"/>
  <c r="AZ361" i="3"/>
  <c r="BL362" i="3"/>
  <c r="G363" i="3"/>
  <c r="BA365" i="3"/>
  <c r="BL366" i="3"/>
  <c r="AZ366" i="3"/>
  <c r="G367" i="3"/>
  <c r="BA369" i="3"/>
  <c r="AZ369" i="3"/>
  <c r="BL370" i="3"/>
  <c r="AZ370" i="3"/>
  <c r="G371" i="3"/>
  <c r="BA373" i="3"/>
  <c r="AZ373" i="3"/>
  <c r="BL374" i="3"/>
  <c r="AZ374" i="3"/>
  <c r="G375" i="3"/>
  <c r="BA377" i="3"/>
  <c r="AZ377" i="3"/>
  <c r="AZ233" i="3"/>
  <c r="AZ237" i="3"/>
  <c r="AZ253" i="3"/>
  <c r="AZ265" i="3"/>
  <c r="AZ269" i="3"/>
  <c r="BA379" i="3"/>
  <c r="BL380" i="3"/>
  <c r="AZ380" i="3"/>
  <c r="G381" i="3"/>
  <c r="BA383" i="3"/>
  <c r="BL384" i="3"/>
  <c r="G385" i="3"/>
  <c r="BA387" i="3"/>
  <c r="AZ387" i="3"/>
  <c r="BL388" i="3"/>
  <c r="G389" i="3"/>
  <c r="BA391" i="3"/>
  <c r="AZ391" i="3"/>
  <c r="BL392" i="3"/>
  <c r="G393" i="3"/>
  <c r="AZ263" i="3"/>
  <c r="AZ291" i="3"/>
  <c r="BO5" i="3"/>
  <c r="BM5" i="3"/>
  <c r="BJ5" i="3"/>
  <c r="BH5" i="3"/>
  <c r="BF5" i="3"/>
  <c r="AZ317" i="3"/>
  <c r="BQ5" i="3"/>
  <c r="AZ549" i="3"/>
  <c r="AZ506" i="3"/>
  <c r="AZ496" i="3"/>
  <c r="G548" i="3"/>
  <c r="G538" i="3"/>
  <c r="G520" i="3"/>
  <c r="G502" i="3"/>
  <c r="BS5" i="3"/>
  <c r="BP5" i="3"/>
  <c r="BN5" i="3"/>
  <c r="G29" i="6"/>
  <c r="BK5" i="3"/>
  <c r="BI5" i="3"/>
  <c r="BG5" i="3"/>
  <c r="BE5" i="3"/>
  <c r="G17" i="3"/>
  <c r="BA17" i="3"/>
  <c r="BT5" i="3"/>
  <c r="AZ364" i="3"/>
  <c r="BA15" i="3"/>
  <c r="BR5" i="3"/>
  <c r="G28" i="6"/>
  <c r="AZ384" i="3"/>
  <c r="AZ396" i="3"/>
  <c r="G509" i="3"/>
  <c r="BL493" i="3"/>
  <c r="AZ493" i="3"/>
  <c r="AZ382" i="3"/>
  <c r="U36" i="40"/>
  <c r="F36" i="43"/>
  <c r="N9" i="43"/>
  <c r="F81" i="43"/>
  <c r="H83" i="43"/>
  <c r="F48" i="43"/>
  <c r="H52" i="43"/>
  <c r="F70" i="43"/>
  <c r="H73" i="43"/>
  <c r="M11" i="43"/>
  <c r="D17" i="43"/>
  <c r="F39" i="43"/>
  <c r="I17" i="43"/>
  <c r="F35" i="43"/>
  <c r="J17" i="43"/>
  <c r="U17" i="39"/>
  <c r="S14" i="35"/>
  <c r="U43" i="21"/>
  <c r="U35" i="21"/>
  <c r="AC35" i="21"/>
  <c r="U10" i="2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23" i="3"/>
  <c r="AZ232" i="3"/>
  <c r="AZ235" i="3"/>
  <c r="AZ248" i="3"/>
  <c r="AZ256" i="3"/>
  <c r="AZ268" i="3"/>
  <c r="AZ271" i="3"/>
  <c r="AZ288" i="3"/>
  <c r="AZ117" i="3"/>
  <c r="AZ133" i="3"/>
  <c r="AZ21" i="3"/>
  <c r="AZ42" i="3"/>
  <c r="AZ53" i="3"/>
  <c r="AZ58" i="3"/>
  <c r="AZ69"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B23" i="1"/>
  <c r="F50" i="68"/>
  <c r="C18" i="9"/>
  <c r="D18" i="9"/>
  <c r="H86" i="43"/>
  <c r="H87" i="43"/>
  <c r="AE9" i="1"/>
  <c r="D93" i="9"/>
  <c r="W27" i="34"/>
  <c r="AC27" i="34"/>
  <c r="AC12" i="39"/>
  <c r="W12" i="39"/>
  <c r="AC39" i="40"/>
  <c r="W39" i="40"/>
  <c r="W12" i="33"/>
  <c r="AC12" i="33"/>
  <c r="AA32" i="36"/>
  <c r="S32" i="36"/>
  <c r="AZ408" i="3"/>
  <c r="AZ437" i="3"/>
  <c r="AZ441" i="3"/>
  <c r="AZ473" i="3"/>
  <c r="AZ490" i="3"/>
  <c r="F28" i="6"/>
  <c r="BL14" i="3"/>
  <c r="U30" i="33"/>
  <c r="AC13" i="34"/>
  <c r="AA47" i="34"/>
  <c r="W28" i="37"/>
  <c r="S19" i="39"/>
  <c r="F12" i="33"/>
  <c r="S12" i="33"/>
  <c r="H12" i="39"/>
  <c r="AB12" i="39"/>
  <c r="F39" i="40"/>
  <c r="BA14" i="3"/>
  <c r="AZ367" i="3"/>
  <c r="AZ234" i="3"/>
  <c r="AZ250" i="3"/>
  <c r="AZ254" i="3"/>
  <c r="AZ286" i="3"/>
  <c r="AZ157" i="3"/>
  <c r="AZ173" i="3"/>
  <c r="AZ189" i="3"/>
  <c r="AZ19" i="3"/>
  <c r="S12" i="1"/>
  <c r="AQ12" i="1" s="1"/>
  <c r="R12" i="1"/>
  <c r="B12" i="1"/>
  <c r="E12" i="1"/>
  <c r="S10" i="1"/>
  <c r="R10" i="1"/>
  <c r="B10" i="1"/>
  <c r="E10" i="1"/>
  <c r="AZ111" i="3"/>
  <c r="S13" i="1"/>
  <c r="R13" i="1"/>
  <c r="S11" i="1"/>
  <c r="T11" i="1" s="1"/>
  <c r="R11" i="1"/>
  <c r="S9" i="1"/>
  <c r="R9" i="1"/>
  <c r="C42" i="1"/>
  <c r="C24" i="12"/>
  <c r="H100" i="43"/>
  <c r="C30" i="66"/>
  <c r="E26" i="66"/>
  <c r="AC34" i="33"/>
  <c r="S22" i="31"/>
  <c r="J100" i="43"/>
  <c r="AB37" i="40"/>
  <c r="S35" i="40"/>
  <c r="AC36" i="40"/>
  <c r="W38" i="40"/>
  <c r="AA32" i="40"/>
  <c r="S17" i="40"/>
  <c r="S23" i="40"/>
  <c r="AC17" i="40"/>
  <c r="AC15" i="40"/>
  <c r="S30" i="40"/>
  <c r="AA19" i="40"/>
  <c r="S28" i="40"/>
  <c r="U21" i="40"/>
  <c r="AB19" i="40"/>
  <c r="W42" i="39"/>
  <c r="U37" i="39"/>
  <c r="W39" i="39"/>
  <c r="S43" i="39"/>
  <c r="S37" i="39"/>
  <c r="F107" i="39"/>
  <c r="G107" i="39"/>
  <c r="U25" i="39"/>
  <c r="U31" i="39"/>
  <c r="S25" i="39"/>
  <c r="G95" i="39"/>
  <c r="W19" i="39"/>
  <c r="U19" i="39"/>
  <c r="S17" i="39"/>
  <c r="S15" i="39"/>
  <c r="AA12" i="39"/>
  <c r="S9" i="39"/>
  <c r="U14" i="39"/>
  <c r="AC13" i="39"/>
  <c r="U13" i="36"/>
  <c r="AC27" i="36"/>
  <c r="AB27" i="36"/>
  <c r="U26"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c r="F26" i="35"/>
  <c r="AA26" i="35"/>
  <c r="J26" i="35"/>
  <c r="H26" i="35"/>
  <c r="U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G75" i="37"/>
  <c r="F19" i="37"/>
  <c r="F79" i="37"/>
  <c r="F23" i="37"/>
  <c r="S23" i="37"/>
  <c r="U23" i="37"/>
  <c r="U15" i="37"/>
  <c r="AC13" i="37"/>
  <c r="U9" i="37"/>
  <c r="AA13" i="37"/>
  <c r="AA12" i="37"/>
  <c r="AA9" i="37"/>
  <c r="H10" i="37"/>
  <c r="AB10" i="37"/>
  <c r="H60" i="37"/>
  <c r="F63" i="37"/>
  <c r="G63" i="37"/>
  <c r="F11" i="37"/>
  <c r="S11" i="37"/>
  <c r="S27" i="34"/>
  <c r="W25" i="34"/>
  <c r="AB8" i="34"/>
  <c r="AA33" i="34"/>
  <c r="U43" i="34"/>
  <c r="W41" i="34"/>
  <c r="AC42" i="34"/>
  <c r="AB35" i="34"/>
  <c r="U39" i="34"/>
  <c r="AB41" i="34"/>
  <c r="AA45" i="34"/>
  <c r="W34" i="34"/>
  <c r="AA25" i="34"/>
  <c r="U28" i="34"/>
  <c r="S17" i="34"/>
  <c r="AA29" i="34"/>
  <c r="U27" i="34"/>
  <c r="S23" i="34"/>
  <c r="U15" i="34"/>
  <c r="S10" i="34"/>
  <c r="S13" i="34"/>
  <c r="H67" i="34"/>
  <c r="H10" i="34"/>
  <c r="AB10" i="34"/>
  <c r="F11" i="34"/>
  <c r="S11" i="34"/>
  <c r="F70" i="34"/>
  <c r="W42" i="33"/>
  <c r="S27" i="33"/>
  <c r="S32" i="33"/>
  <c r="AA29" i="33"/>
  <c r="AB29" i="33"/>
  <c r="W38" i="33"/>
  <c r="H41" i="33"/>
  <c r="F121" i="33"/>
  <c r="G121" i="33"/>
  <c r="H121" i="33"/>
  <c r="I121" i="33"/>
  <c r="J121" i="33"/>
  <c r="K121" i="33"/>
  <c r="L121" i="33"/>
  <c r="M121" i="33"/>
  <c r="U42" i="33"/>
  <c r="S42" i="33"/>
  <c r="F36" i="33"/>
  <c r="S36" i="33"/>
  <c r="G111" i="33"/>
  <c r="J35" i="33"/>
  <c r="S37" i="33"/>
  <c r="AA37" i="33"/>
  <c r="S39" i="33"/>
  <c r="J32" i="33"/>
  <c r="S46" i="33"/>
  <c r="W43" i="33"/>
  <c r="S43" i="33"/>
  <c r="F91" i="33"/>
  <c r="H27" i="33"/>
  <c r="U27" i="33"/>
  <c r="H25" i="33"/>
  <c r="U25" i="33"/>
  <c r="F25" i="33"/>
  <c r="J23" i="33"/>
  <c r="AC23" i="33"/>
  <c r="H23" i="33"/>
  <c r="AB23" i="33"/>
  <c r="F19" i="33"/>
  <c r="S19" i="33"/>
  <c r="W19" i="33"/>
  <c r="J17" i="33"/>
  <c r="S15" i="33"/>
  <c r="W15" i="33"/>
  <c r="U9" i="33"/>
  <c r="I66" i="33"/>
  <c r="J10" i="33"/>
  <c r="H10" i="33"/>
  <c r="U10" i="33"/>
  <c r="AC11" i="33"/>
  <c r="AB14" i="33"/>
  <c r="W43" i="21"/>
  <c r="W36" i="21"/>
  <c r="W41" i="21"/>
  <c r="AB39" i="21"/>
  <c r="AA43" i="21"/>
  <c r="S39" i="21"/>
  <c r="AA38" i="21"/>
  <c r="AA36" i="21"/>
  <c r="AC40" i="21"/>
  <c r="J15" i="21"/>
  <c r="W15" i="21"/>
  <c r="F77" i="21"/>
  <c r="G77" i="21"/>
  <c r="E85" i="21"/>
  <c r="F23" i="21"/>
  <c r="S23" i="21"/>
  <c r="AC11" i="21"/>
  <c r="AA14" i="21"/>
  <c r="AB8" i="21"/>
  <c r="S8" i="21"/>
  <c r="M3" i="43"/>
  <c r="M1" i="43"/>
  <c r="N8" i="43"/>
  <c r="D120" i="9"/>
  <c r="F34" i="67"/>
  <c r="F62" i="67"/>
  <c r="F34" i="15"/>
  <c r="F62" i="15"/>
  <c r="BL17" i="3"/>
  <c r="AZ17" i="3"/>
  <c r="J56" i="9"/>
  <c r="J57" i="9"/>
  <c r="J59" i="9"/>
  <c r="A24" i="51"/>
  <c r="B18" i="72"/>
  <c r="U29" i="34"/>
  <c r="E32" i="6"/>
  <c r="K1" i="12"/>
  <c r="E19" i="69"/>
  <c r="E19" i="11"/>
  <c r="E1" i="73"/>
  <c r="G22" i="69"/>
  <c r="G22" i="68"/>
  <c r="G26" i="12"/>
  <c r="G22" i="11"/>
  <c r="C100" i="43"/>
  <c r="E11" i="43"/>
  <c r="E10" i="43"/>
  <c r="E9" i="43"/>
  <c r="E8" i="43"/>
  <c r="C7" i="43"/>
  <c r="AC11" i="43"/>
  <c r="AC13" i="43" s="1"/>
  <c r="E48" i="43"/>
  <c r="B46" i="43"/>
  <c r="E70" i="43"/>
  <c r="B68" i="43"/>
  <c r="F100" i="43"/>
  <c r="H17" i="43"/>
  <c r="D9" i="53"/>
  <c r="B25" i="72"/>
  <c r="B24" i="72"/>
  <c r="H85" i="43"/>
  <c r="H81" i="43"/>
  <c r="H84" i="43"/>
  <c r="H88" i="43"/>
  <c r="H53" i="43"/>
  <c r="H78" i="43"/>
  <c r="H71" i="43"/>
  <c r="C17" i="43"/>
  <c r="F33" i="43"/>
  <c r="K17" i="43"/>
  <c r="F34" i="43"/>
  <c r="N6" i="43"/>
  <c r="M9" i="43"/>
  <c r="N3" i="43"/>
  <c r="F38" i="43"/>
  <c r="F37" i="43"/>
  <c r="N5" i="43"/>
  <c r="M12" i="43"/>
  <c r="C7" i="35"/>
  <c r="C48" i="35"/>
  <c r="T35" i="4"/>
  <c r="A19" i="51"/>
  <c r="B14" i="72"/>
  <c r="C59" i="34"/>
  <c r="H66" i="43"/>
  <c r="H65" i="43"/>
  <c r="H64" i="43"/>
  <c r="H63" i="43"/>
  <c r="H55" i="43"/>
  <c r="H56" i="43"/>
  <c r="H72" i="43"/>
  <c r="L20" i="6"/>
  <c r="B6" i="1"/>
  <c r="E6" i="1"/>
  <c r="B9" i="1"/>
  <c r="E9"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c r="L101" i="21"/>
  <c r="M101" i="21"/>
  <c r="S33" i="21"/>
  <c r="F37" i="21"/>
  <c r="AA26" i="21"/>
  <c r="AB14" i="21"/>
  <c r="AB46" i="21"/>
  <c r="U40" i="21"/>
  <c r="AB31" i="21"/>
  <c r="AC15" i="21"/>
  <c r="U13" i="21"/>
  <c r="AB13" i="21"/>
  <c r="W8" i="21"/>
  <c r="S35" i="21"/>
  <c r="AB37" i="21"/>
  <c r="J37" i="21"/>
  <c r="H15" i="21"/>
  <c r="J17" i="21"/>
  <c r="AC19" i="21"/>
  <c r="W39" i="21"/>
  <c r="AC14" i="21"/>
  <c r="W30" i="21"/>
  <c r="S46" i="21"/>
  <c r="H45" i="21"/>
  <c r="U45" i="21"/>
  <c r="F29" i="21"/>
  <c r="S29" i="21"/>
  <c r="F13" i="21"/>
  <c r="AA13" i="21"/>
  <c r="AC38" i="21"/>
  <c r="H32" i="21"/>
  <c r="AB32" i="21"/>
  <c r="H9" i="21"/>
  <c r="U9" i="21"/>
  <c r="J9" i="21"/>
  <c r="W9" i="21"/>
  <c r="J32" i="21"/>
  <c r="AC32" i="21"/>
  <c r="F32" i="21"/>
  <c r="AA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E7" i="70"/>
  <c r="AA39" i="40"/>
  <c r="S39" i="40"/>
  <c r="AA12" i="33"/>
  <c r="H107" i="39"/>
  <c r="I107" i="39"/>
  <c r="J107" i="39"/>
  <c r="K107" i="39"/>
  <c r="L107" i="39"/>
  <c r="M107" i="39"/>
  <c r="S32" i="39"/>
  <c r="U21" i="39"/>
  <c r="S21" i="39"/>
  <c r="W21" i="39"/>
  <c r="S26" i="35"/>
  <c r="U9" i="35"/>
  <c r="AA9" i="35"/>
  <c r="S9" i="35"/>
  <c r="AC26" i="35"/>
  <c r="W26" i="35"/>
  <c r="AB26" i="35"/>
  <c r="AC17" i="37"/>
  <c r="S17" i="37"/>
  <c r="J19" i="37"/>
  <c r="AC19" i="37"/>
  <c r="S19" i="37"/>
  <c r="AA19" i="37"/>
  <c r="AA23" i="37"/>
  <c r="J23" i="37"/>
  <c r="G79" i="37"/>
  <c r="J10" i="37"/>
  <c r="I60" i="37"/>
  <c r="H11" i="37"/>
  <c r="U11" i="37"/>
  <c r="U10" i="37"/>
  <c r="G70" i="34"/>
  <c r="H11" i="34"/>
  <c r="U11" i="34"/>
  <c r="U10" i="34"/>
  <c r="J10" i="34"/>
  <c r="AC10" i="34"/>
  <c r="I67" i="34"/>
  <c r="AB41" i="33"/>
  <c r="U41" i="33"/>
  <c r="W35" i="33"/>
  <c r="AC35" i="33"/>
  <c r="H111" i="33"/>
  <c r="I111" i="33"/>
  <c r="J111" i="33"/>
  <c r="K111" i="33"/>
  <c r="L111" i="33"/>
  <c r="M111" i="33"/>
  <c r="J36" i="33"/>
  <c r="H36" i="33"/>
  <c r="AB36" i="33"/>
  <c r="AA36" i="33"/>
  <c r="AC32" i="33"/>
  <c r="W32" i="33"/>
  <c r="AB27" i="33"/>
  <c r="G91" i="33"/>
  <c r="H91" i="33"/>
  <c r="I91" i="33"/>
  <c r="J91" i="33"/>
  <c r="K91" i="33"/>
  <c r="L91" i="33"/>
  <c r="M91" i="33"/>
  <c r="J27" i="33"/>
  <c r="AC27" i="33"/>
  <c r="AB25" i="33"/>
  <c r="S25" i="33"/>
  <c r="AA25" i="33"/>
  <c r="H87" i="33"/>
  <c r="I87" i="33"/>
  <c r="J87" i="33"/>
  <c r="K87" i="33"/>
  <c r="L87" i="33"/>
  <c r="M87" i="33"/>
  <c r="J25" i="33"/>
  <c r="AC25" i="33"/>
  <c r="U23" i="33"/>
  <c r="F23" i="33"/>
  <c r="G85" i="33"/>
  <c r="W23" i="33"/>
  <c r="H19" i="33"/>
  <c r="U19" i="33"/>
  <c r="G79" i="33"/>
  <c r="H17" i="33"/>
  <c r="AB17" i="33"/>
  <c r="F17" i="33"/>
  <c r="S17" i="33"/>
  <c r="W17" i="33"/>
  <c r="AC17" i="33"/>
  <c r="AB10" i="33"/>
  <c r="AC10" i="33"/>
  <c r="W10" i="33"/>
  <c r="U33" i="21"/>
  <c r="AA23" i="21"/>
  <c r="J23" i="21"/>
  <c r="W23" i="21"/>
  <c r="F85" i="21"/>
  <c r="G85" i="21"/>
  <c r="H23" i="21"/>
  <c r="AB23" i="21"/>
  <c r="D6" i="52"/>
  <c r="D121" i="9"/>
  <c r="D7" i="52"/>
  <c r="K120" i="9"/>
  <c r="A18" i="62"/>
  <c r="B64" i="72"/>
  <c r="J61" i="9"/>
  <c r="R22" i="31"/>
  <c r="B21" i="31"/>
  <c r="AB45" i="21"/>
  <c r="W33" i="21"/>
  <c r="W32" i="21"/>
  <c r="AB9" i="21"/>
  <c r="S32" i="21"/>
  <c r="AC9" i="21"/>
  <c r="U32" i="21"/>
  <c r="AA10" i="21"/>
  <c r="S10" i="21"/>
  <c r="E6" i="70"/>
  <c r="U32" i="39"/>
  <c r="W32" i="39"/>
  <c r="W19" i="37"/>
  <c r="W23" i="37"/>
  <c r="AC23" i="37"/>
  <c r="AB11" i="37"/>
  <c r="H63" i="37"/>
  <c r="I63" i="37"/>
  <c r="J63" i="37"/>
  <c r="K63" i="37"/>
  <c r="L63" i="37"/>
  <c r="M63" i="37"/>
  <c r="J11" i="37"/>
  <c r="W11" i="37"/>
  <c r="W10" i="37"/>
  <c r="AC10" i="37"/>
  <c r="AB11" i="34"/>
  <c r="W10" i="34"/>
  <c r="H70" i="34"/>
  <c r="I70" i="34"/>
  <c r="J70" i="34"/>
  <c r="K70" i="34"/>
  <c r="L70" i="34"/>
  <c r="M70" i="34"/>
  <c r="J11" i="34"/>
  <c r="W11" i="34"/>
  <c r="AC36" i="33"/>
  <c r="W36" i="33"/>
  <c r="W27" i="33"/>
  <c r="W25" i="33"/>
  <c r="AA23" i="33"/>
  <c r="S23" i="33"/>
  <c r="AB19" i="33"/>
  <c r="AA17" i="33"/>
  <c r="U17" i="33"/>
  <c r="AC23" i="21"/>
  <c r="AC11" i="34"/>
  <c r="AE7" i="1"/>
  <c r="AE6" i="1"/>
  <c r="AG6" i="1"/>
  <c r="H109" i="9"/>
  <c r="H110" i="9"/>
  <c r="D18" i="53" s="1"/>
  <c r="B35" i="72"/>
  <c r="D124" i="9"/>
  <c r="H14" i="74"/>
  <c r="B7" i="74"/>
  <c r="D16" i="53"/>
  <c r="B34" i="72"/>
  <c r="D17" i="53"/>
  <c r="B36" i="72"/>
  <c r="D59" i="9"/>
  <c r="M55" i="9"/>
  <c r="AD3" i="71"/>
  <c r="C77" i="9"/>
  <c r="C74" i="9"/>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D12" i="71"/>
  <c r="U12" i="71"/>
  <c r="S12" i="71"/>
  <c r="T12" i="71"/>
  <c r="AB10" i="71"/>
  <c r="X8" i="71"/>
  <c r="X7" i="71"/>
  <c r="AA8" i="71"/>
  <c r="AA7" i="71"/>
  <c r="X11" i="71"/>
  <c r="Y7" i="71"/>
  <c r="Z7" i="71"/>
  <c r="AB8" i="71"/>
  <c r="AB7" i="71"/>
  <c r="F9" i="71"/>
  <c r="F8" i="71"/>
  <c r="F7" i="71"/>
  <c r="F6" i="71"/>
  <c r="F5" i="71"/>
  <c r="Y8" i="71"/>
  <c r="Z8" i="71"/>
  <c r="AB3" i="71"/>
  <c r="X3" i="71"/>
  <c r="AF3" i="71"/>
  <c r="E41" i="43"/>
  <c r="C41" i="43"/>
  <c r="U23" i="21"/>
  <c r="U36" i="33"/>
  <c r="S13" i="21"/>
  <c r="AA11" i="34"/>
  <c r="S43" i="34"/>
  <c r="S27" i="36"/>
  <c r="U12" i="39"/>
  <c r="U35" i="40"/>
  <c r="AZ14" i="3"/>
  <c r="E28" i="6"/>
  <c r="H82" i="43"/>
  <c r="H50" i="43"/>
  <c r="AZ379" i="3"/>
  <c r="AZ345" i="3"/>
  <c r="AZ318" i="3"/>
  <c r="AZ390" i="3"/>
  <c r="AZ372" i="3"/>
  <c r="AZ337" i="3"/>
  <c r="AZ320" i="3"/>
  <c r="AZ305" i="3"/>
  <c r="AZ362" i="3"/>
  <c r="AZ360" i="3"/>
  <c r="AZ343" i="3"/>
  <c r="S11" i="39"/>
  <c r="U12" i="37"/>
  <c r="W40" i="37"/>
  <c r="AZ497" i="3"/>
  <c r="AZ501" i="3"/>
  <c r="AZ525" i="3"/>
  <c r="AZ533" i="3"/>
  <c r="AZ541" i="3"/>
  <c r="AZ555" i="3"/>
  <c r="AZ583" i="3"/>
  <c r="AZ510" i="3"/>
  <c r="AZ540" i="3"/>
  <c r="AZ558" i="3"/>
  <c r="U31" i="33"/>
  <c r="AA14" i="34"/>
  <c r="W11" i="36"/>
  <c r="U46" i="33"/>
  <c r="B71" i="43"/>
  <c r="C21" i="39"/>
  <c r="AB34" i="34"/>
  <c r="U34" i="34"/>
  <c r="AA35" i="34"/>
  <c r="S35" i="34"/>
  <c r="W8" i="35"/>
  <c r="AC8" i="35"/>
  <c r="H23" i="35"/>
  <c r="J23" i="35"/>
  <c r="H34" i="36"/>
  <c r="J34" i="36"/>
  <c r="H33" i="36"/>
  <c r="J33" i="36"/>
  <c r="F33" i="36"/>
  <c r="AB9" i="40"/>
  <c r="U9" i="40"/>
  <c r="AB38" i="40"/>
  <c r="U38" i="40"/>
  <c r="AC31" i="40"/>
  <c r="W31" i="40"/>
  <c r="AA31" i="35"/>
  <c r="S31" i="35"/>
  <c r="AC30" i="36"/>
  <c r="W30" i="36"/>
  <c r="H35" i="39"/>
  <c r="F35" i="39"/>
  <c r="AZ511" i="3"/>
  <c r="AZ515" i="3"/>
  <c r="AZ519" i="3"/>
  <c r="AZ565" i="3"/>
  <c r="AZ569" i="3"/>
  <c r="AZ573" i="3"/>
  <c r="AZ577" i="3"/>
  <c r="AZ508" i="3"/>
  <c r="AZ585" i="3"/>
  <c r="S40" i="21"/>
  <c r="U34" i="40"/>
  <c r="J35" i="39"/>
  <c r="AB41" i="21"/>
  <c r="J12" i="21"/>
  <c r="AB34" i="21"/>
  <c r="U34" i="21"/>
  <c r="BL586" i="3"/>
  <c r="AZ586" i="3"/>
  <c r="BL585" i="3"/>
  <c r="J26" i="33"/>
  <c r="F26" i="33"/>
  <c r="W12" i="34"/>
  <c r="AC12" i="34"/>
  <c r="U12" i="35"/>
  <c r="AB12" i="35"/>
  <c r="AA27" i="35"/>
  <c r="S27" i="35"/>
  <c r="W27" i="35"/>
  <c r="AC27" i="35"/>
  <c r="AC28" i="36"/>
  <c r="W28" i="36"/>
  <c r="AC40" i="39"/>
  <c r="W40" i="39"/>
  <c r="H44" i="39"/>
  <c r="F44" i="39"/>
  <c r="J44" i="39"/>
  <c r="AC32" i="40"/>
  <c r="W32" i="40"/>
  <c r="AA38" i="40"/>
  <c r="S38" i="40"/>
  <c r="H40" i="40"/>
  <c r="F40" i="40"/>
  <c r="G582" i="3"/>
  <c r="G566" i="3"/>
  <c r="G552" i="3"/>
  <c r="BA551" i="3"/>
  <c r="AZ551" i="3"/>
  <c r="G551" i="3"/>
  <c r="BL550" i="3"/>
  <c r="BA550" i="3"/>
  <c r="BL548" i="3"/>
  <c r="AZ548" i="3"/>
  <c r="BL15" i="3"/>
  <c r="AZ15" i="3"/>
  <c r="A15" i="62"/>
  <c r="B61" i="72"/>
  <c r="G398" i="3"/>
  <c r="BL398" i="3"/>
  <c r="BA399" i="3"/>
  <c r="AZ399" i="3"/>
  <c r="BL401" i="3"/>
  <c r="AZ401" i="3"/>
  <c r="G403" i="3"/>
  <c r="G405" i="3"/>
  <c r="BL405" i="3"/>
  <c r="G407" i="3"/>
  <c r="BL407" i="3"/>
  <c r="G410" i="3"/>
  <c r="BL410" i="3"/>
  <c r="BA411" i="3"/>
  <c r="AZ411" i="3"/>
  <c r="BA412" i="3"/>
  <c r="AZ412" i="3"/>
  <c r="G415" i="3"/>
  <c r="BL415" i="3"/>
  <c r="BA416" i="3"/>
  <c r="AZ416" i="3"/>
  <c r="BA417" i="3"/>
  <c r="AZ417" i="3"/>
  <c r="BA418" i="3"/>
  <c r="AZ418" i="3"/>
  <c r="BL418" i="3"/>
  <c r="G420" i="3"/>
  <c r="BL420" i="3"/>
  <c r="BA421" i="3"/>
  <c r="AZ421" i="3"/>
  <c r="BA422" i="3"/>
  <c r="BL422" i="3"/>
  <c r="BA423" i="3"/>
  <c r="AZ423" i="3"/>
  <c r="G426" i="3"/>
  <c r="BL426" i="3"/>
  <c r="BA427" i="3"/>
  <c r="AZ427" i="3"/>
  <c r="BA428" i="3"/>
  <c r="AZ428" i="3"/>
  <c r="G431" i="3"/>
  <c r="BL431" i="3"/>
  <c r="BA432" i="3"/>
  <c r="AZ432" i="3"/>
  <c r="BA433" i="3"/>
  <c r="AZ433" i="3"/>
  <c r="BA434" i="3"/>
  <c r="AZ434" i="3"/>
  <c r="BL434" i="3"/>
  <c r="G436" i="3"/>
  <c r="BL436" i="3"/>
  <c r="G441" i="3"/>
  <c r="G442" i="3"/>
  <c r="G446" i="3"/>
  <c r="G448" i="3"/>
  <c r="BL448" i="3"/>
  <c r="BA449" i="3"/>
  <c r="AZ449" i="3"/>
  <c r="BA450" i="3"/>
  <c r="AZ450" i="3"/>
  <c r="BL450" i="3"/>
  <c r="G452" i="3"/>
  <c r="BL452" i="3"/>
  <c r="BA453" i="3"/>
  <c r="AZ453" i="3"/>
  <c r="BA454" i="3"/>
  <c r="BL454" i="3"/>
  <c r="BA455" i="3"/>
  <c r="AZ455" i="3"/>
  <c r="BL457" i="3"/>
  <c r="AZ457" i="3"/>
  <c r="G459" i="3"/>
  <c r="G461" i="3"/>
  <c r="BL461" i="3"/>
  <c r="G463" i="3"/>
  <c r="BL463" i="3"/>
  <c r="BA464" i="3"/>
  <c r="AZ464" i="3"/>
  <c r="BA465" i="3"/>
  <c r="AZ465" i="3"/>
  <c r="G468" i="3"/>
  <c r="BL468" i="3"/>
  <c r="AZ469" i="3"/>
  <c r="AZ475" i="3"/>
  <c r="AC5" i="3"/>
  <c r="AZ438" i="3"/>
  <c r="AZ443" i="3"/>
  <c r="G472" i="3"/>
  <c r="BL472" i="3"/>
  <c r="AZ472" i="3"/>
  <c r="G475" i="3"/>
  <c r="BL475" i="3"/>
  <c r="BA476" i="3"/>
  <c r="AZ476" i="3"/>
  <c r="BA477" i="3"/>
  <c r="BL477" i="3"/>
  <c r="BA478" i="3"/>
  <c r="AZ478" i="3"/>
  <c r="G481" i="3"/>
  <c r="G483" i="3"/>
  <c r="BL483" i="3"/>
  <c r="AZ483" i="3"/>
  <c r="BA484" i="3"/>
  <c r="AZ484" i="3"/>
  <c r="G487" i="3"/>
  <c r="G489" i="3"/>
  <c r="BL489" i="3"/>
  <c r="BL491" i="3"/>
  <c r="AZ491" i="3"/>
  <c r="BA492" i="3"/>
  <c r="AZ492" i="3"/>
  <c r="G313" i="3"/>
  <c r="BL314" i="3"/>
  <c r="AZ314" i="3"/>
  <c r="BA316" i="3"/>
  <c r="AZ316" i="3"/>
  <c r="BA319" i="3"/>
  <c r="AZ319" i="3"/>
  <c r="BA323" i="3"/>
  <c r="AZ323" i="3"/>
  <c r="BL328" i="3"/>
  <c r="AZ328" i="3"/>
  <c r="BL333" i="3"/>
  <c r="AZ333" i="3"/>
  <c r="G339" i="3"/>
  <c r="BL340" i="3"/>
  <c r="AZ340" i="3"/>
  <c r="BL350" i="3"/>
  <c r="AZ350" i="3"/>
  <c r="BA353" i="3"/>
  <c r="AZ353" i="3"/>
  <c r="G358" i="3"/>
  <c r="BL359" i="3"/>
  <c r="AZ359" i="3"/>
  <c r="BL365" i="3"/>
  <c r="AZ365" i="3"/>
  <c r="BA368" i="3"/>
  <c r="AZ368" i="3"/>
  <c r="G378" i="3"/>
  <c r="BL383" i="3"/>
  <c r="AZ383" i="3"/>
  <c r="BA385" i="3"/>
  <c r="AZ385" i="3"/>
  <c r="BA388" i="3"/>
  <c r="AZ388" i="3"/>
  <c r="BA392" i="3"/>
  <c r="AZ392" i="3"/>
  <c r="G395" i="3"/>
  <c r="BL395" i="3"/>
  <c r="AZ395" i="3"/>
  <c r="G208" i="3"/>
  <c r="BL208" i="3"/>
  <c r="G211" i="3"/>
  <c r="BL211" i="3"/>
  <c r="BA212" i="3"/>
  <c r="AZ212" i="3"/>
  <c r="BA213" i="3"/>
  <c r="AZ213" i="3"/>
  <c r="BA214" i="3"/>
  <c r="AZ214" i="3"/>
  <c r="BA215" i="3"/>
  <c r="AZ215" i="3"/>
  <c r="G218" i="3"/>
  <c r="G219" i="3"/>
  <c r="BL219" i="3"/>
  <c r="BA220" i="3"/>
  <c r="AZ220" i="3"/>
  <c r="BL222" i="3"/>
  <c r="AZ222" i="3"/>
  <c r="BL224" i="3"/>
  <c r="AZ224" i="3"/>
  <c r="BA225" i="3"/>
  <c r="AZ225" i="3"/>
  <c r="BL227" i="3"/>
  <c r="AZ227" i="3"/>
  <c r="BA228" i="3"/>
  <c r="AZ228" i="3"/>
  <c r="BA229" i="3"/>
  <c r="AZ229" i="3"/>
  <c r="G232" i="3"/>
  <c r="G233" i="3"/>
  <c r="G234" i="3"/>
  <c r="G235" i="3"/>
  <c r="G236" i="3"/>
  <c r="BL236" i="3"/>
  <c r="BL238" i="3"/>
  <c r="AZ238" i="3"/>
  <c r="BA239" i="3"/>
  <c r="AZ239" i="3"/>
  <c r="BA240" i="3"/>
  <c r="AZ240" i="3"/>
  <c r="BA241" i="3"/>
  <c r="AZ241" i="3"/>
  <c r="BL243" i="3"/>
  <c r="AZ243" i="3"/>
  <c r="BA244" i="3"/>
  <c r="AZ244" i="3"/>
  <c r="BA245" i="3"/>
  <c r="BL245" i="3"/>
  <c r="G247" i="3"/>
  <c r="BL247" i="3"/>
  <c r="BL249" i="3"/>
  <c r="AZ249" i="3"/>
  <c r="BL251" i="3"/>
  <c r="AZ251" i="3"/>
  <c r="G253" i="3"/>
  <c r="G254" i="3"/>
  <c r="G255" i="3"/>
  <c r="BL255" i="3"/>
  <c r="AZ255" i="3"/>
  <c r="BL257" i="3"/>
  <c r="AZ257" i="3"/>
  <c r="BA258" i="3"/>
  <c r="AZ258" i="3"/>
  <c r="BA259" i="3"/>
  <c r="AZ259" i="3"/>
  <c r="BL261" i="3"/>
  <c r="AZ261" i="3"/>
  <c r="G263" i="3"/>
  <c r="G264" i="3"/>
  <c r="BL264" i="3"/>
  <c r="BL266" i="3"/>
  <c r="AZ266" i="3"/>
  <c r="G268" i="3"/>
  <c r="G269" i="3"/>
  <c r="G270" i="3"/>
  <c r="BL270" i="3"/>
  <c r="BA272" i="3"/>
  <c r="AZ272" i="3"/>
  <c r="BA273" i="3"/>
  <c r="AZ273" i="3"/>
  <c r="BL275" i="3"/>
  <c r="AZ275" i="3"/>
  <c r="G277" i="3"/>
  <c r="BL277" i="3"/>
  <c r="BA278" i="3"/>
  <c r="AZ278" i="3"/>
  <c r="BA279" i="3"/>
  <c r="AZ279" i="3"/>
  <c r="BA280" i="3"/>
  <c r="AZ280" i="3"/>
  <c r="BA281" i="3"/>
  <c r="AZ281" i="3"/>
  <c r="BL283" i="3"/>
  <c r="AZ283" i="3"/>
  <c r="G285" i="3"/>
  <c r="BL285" i="3"/>
  <c r="BL287" i="3"/>
  <c r="AZ287" i="3"/>
  <c r="G290" i="3"/>
  <c r="BL290" i="3"/>
  <c r="BA292" i="3"/>
  <c r="AZ292" i="3"/>
  <c r="BA294" i="3"/>
  <c r="AZ294" i="3"/>
  <c r="BA295" i="3"/>
  <c r="AZ295" i="3"/>
  <c r="BA296" i="3"/>
  <c r="AZ296" i="3"/>
  <c r="BA297" i="3"/>
  <c r="AZ297" i="3"/>
  <c r="BL299" i="3"/>
  <c r="AZ299" i="3"/>
  <c r="BA300" i="3"/>
  <c r="AZ300" i="3"/>
  <c r="BA113" i="3"/>
  <c r="AZ113" i="3"/>
  <c r="BA114" i="3"/>
  <c r="AZ114" i="3"/>
  <c r="BL115" i="3"/>
  <c r="AZ115" i="3"/>
  <c r="G119" i="3"/>
  <c r="G122" i="3"/>
  <c r="BL122" i="3"/>
  <c r="BA124" i="3"/>
  <c r="AZ124" i="3"/>
  <c r="BL125" i="3"/>
  <c r="BA126" i="3"/>
  <c r="AZ126" i="3"/>
  <c r="BL127" i="3"/>
  <c r="AZ127" i="3"/>
  <c r="BA129" i="3"/>
  <c r="AZ129" i="3"/>
  <c r="BA130" i="3"/>
  <c r="AZ130" i="3"/>
  <c r="U21" i="21"/>
  <c r="AB21" i="21"/>
  <c r="U21" i="33"/>
  <c r="AB21" i="33"/>
  <c r="AZ270" i="3"/>
  <c r="AZ277" i="3"/>
  <c r="AZ290" i="3"/>
  <c r="AZ122" i="3"/>
  <c r="AZ125" i="3"/>
  <c r="BL131" i="3"/>
  <c r="AZ131" i="3"/>
  <c r="G135" i="3"/>
  <c r="G138" i="3"/>
  <c r="G139" i="3"/>
  <c r="G142" i="3"/>
  <c r="G143" i="3"/>
  <c r="G146" i="3"/>
  <c r="G147" i="3"/>
  <c r="BL149" i="3"/>
  <c r="AZ149" i="3"/>
  <c r="G152" i="3"/>
  <c r="BL154" i="3"/>
  <c r="AZ154" i="3"/>
  <c r="BA156" i="3"/>
  <c r="AZ156" i="3"/>
  <c r="G158" i="3"/>
  <c r="G159" i="3"/>
  <c r="G162" i="3"/>
  <c r="G163" i="3"/>
  <c r="BL165" i="3"/>
  <c r="AZ165" i="3"/>
  <c r="G168" i="3"/>
  <c r="BL170" i="3"/>
  <c r="AZ170" i="3"/>
  <c r="BA172" i="3"/>
  <c r="AZ172" i="3"/>
  <c r="G174" i="3"/>
  <c r="G175" i="3"/>
  <c r="G178" i="3"/>
  <c r="G179" i="3"/>
  <c r="BL181" i="3"/>
  <c r="AZ181" i="3"/>
  <c r="G184" i="3"/>
  <c r="BL186" i="3"/>
  <c r="AZ186" i="3"/>
  <c r="BA188" i="3"/>
  <c r="AZ188" i="3"/>
  <c r="G190" i="3"/>
  <c r="G191" i="3"/>
  <c r="G194" i="3"/>
  <c r="G195" i="3"/>
  <c r="BL197" i="3"/>
  <c r="AZ197" i="3"/>
  <c r="G200" i="3"/>
  <c r="BL202" i="3"/>
  <c r="AZ202" i="3"/>
  <c r="BA204" i="3"/>
  <c r="AZ204" i="3"/>
  <c r="BA205" i="3"/>
  <c r="AZ205" i="3"/>
  <c r="BA206" i="3"/>
  <c r="AZ206" i="3"/>
  <c r="G19" i="3"/>
  <c r="G20" i="3"/>
  <c r="G21" i="3"/>
  <c r="G22" i="3"/>
  <c r="BL22" i="3"/>
  <c r="BA23" i="3"/>
  <c r="AZ23" i="3"/>
  <c r="BA24" i="3"/>
  <c r="AZ24" i="3"/>
  <c r="BL26" i="3"/>
  <c r="AZ26" i="3"/>
  <c r="BA27" i="3"/>
  <c r="AZ27" i="3"/>
  <c r="BA28" i="3"/>
  <c r="AZ28" i="3"/>
  <c r="BA29" i="3"/>
  <c r="AZ29" i="3"/>
  <c r="BL31" i="3"/>
  <c r="AZ31" i="3"/>
  <c r="BL33" i="3"/>
  <c r="AZ33" i="3"/>
  <c r="BA34" i="3"/>
  <c r="AZ34" i="3"/>
  <c r="BA35" i="3"/>
  <c r="AZ35" i="3"/>
  <c r="BL37" i="3"/>
  <c r="AZ37" i="3"/>
  <c r="BA38" i="3"/>
  <c r="AZ38" i="3"/>
  <c r="BA39" i="3"/>
  <c r="AZ39" i="3"/>
  <c r="BL41" i="3"/>
  <c r="AZ41" i="3"/>
  <c r="BL43" i="3"/>
  <c r="AZ43" i="3"/>
  <c r="BA44" i="3"/>
  <c r="AZ44" i="3"/>
  <c r="BA45" i="3"/>
  <c r="AZ45" i="3"/>
  <c r="BL47" i="3"/>
  <c r="AZ47" i="3"/>
  <c r="BA48" i="3"/>
  <c r="AZ48" i="3"/>
  <c r="BL50" i="3"/>
  <c r="AZ50" i="3"/>
  <c r="G53" i="3"/>
  <c r="G54" i="3"/>
  <c r="BL54" i="3"/>
  <c r="G57" i="3"/>
  <c r="BL57" i="3"/>
  <c r="BL59" i="3"/>
  <c r="AZ59" i="3"/>
  <c r="BA60" i="3"/>
  <c r="AZ60" i="3"/>
  <c r="BA61" i="3"/>
  <c r="AZ61" i="3"/>
  <c r="BL63" i="3"/>
  <c r="AZ63" i="3"/>
  <c r="BA64" i="3"/>
  <c r="AZ64" i="3"/>
  <c r="BL66" i="3"/>
  <c r="AZ66" i="3"/>
  <c r="G69" i="3"/>
  <c r="G70" i="3"/>
  <c r="BL70" i="3"/>
  <c r="BL72" i="3"/>
  <c r="AZ72" i="3"/>
  <c r="BA73" i="3"/>
  <c r="AZ73" i="3"/>
  <c r="BA74" i="3"/>
  <c r="AZ74" i="3"/>
  <c r="BA75" i="3"/>
  <c r="AZ75" i="3"/>
  <c r="BL77" i="3"/>
  <c r="AZ77" i="3"/>
  <c r="BA78" i="3"/>
  <c r="AZ78" i="3"/>
  <c r="BA79" i="3"/>
  <c r="AZ79" i="3"/>
  <c r="BA80" i="3"/>
  <c r="AZ80" i="3"/>
  <c r="BL82" i="3"/>
  <c r="AZ82" i="3"/>
  <c r="BL84" i="3"/>
  <c r="AZ84" i="3"/>
  <c r="BL86" i="3"/>
  <c r="AZ86" i="3"/>
  <c r="BA87" i="3"/>
  <c r="AZ87" i="3"/>
  <c r="BA88" i="3"/>
  <c r="AZ88" i="3"/>
  <c r="BA89" i="3"/>
  <c r="AZ89" i="3"/>
  <c r="G92" i="3"/>
  <c r="BL92" i="3"/>
  <c r="BL94" i="3"/>
  <c r="AZ94" i="3"/>
  <c r="G96" i="3"/>
  <c r="BL96" i="3"/>
  <c r="G99" i="3"/>
  <c r="BL99" i="3"/>
  <c r="BA100" i="3"/>
  <c r="AZ100" i="3"/>
  <c r="BA101" i="3"/>
  <c r="AZ101" i="3"/>
  <c r="BL102" i="3"/>
  <c r="AZ102" i="3"/>
  <c r="BA103" i="3"/>
  <c r="AZ103" i="3"/>
  <c r="BL105" i="3"/>
  <c r="AZ105" i="3"/>
  <c r="BA106" i="3"/>
  <c r="AZ106" i="3"/>
  <c r="BA107" i="3"/>
  <c r="AZ107" i="3"/>
  <c r="BL109" i="3"/>
  <c r="AZ109" i="3"/>
  <c r="G112" i="3"/>
  <c r="BL112" i="3"/>
  <c r="I15" i="66"/>
  <c r="D1" i="66"/>
  <c r="E10" i="66"/>
  <c r="W25" i="40"/>
  <c r="S29" i="39"/>
  <c r="AB18" i="36"/>
  <c r="U18" i="36"/>
  <c r="P55" i="71"/>
  <c r="D63" i="71"/>
  <c r="D39" i="71"/>
  <c r="C40" i="71"/>
  <c r="AB25" i="71"/>
  <c r="AA22" i="71"/>
  <c r="C22" i="71"/>
  <c r="C15" i="71"/>
  <c r="T16" i="71"/>
  <c r="D16" i="71"/>
  <c r="U16" i="71"/>
  <c r="AA17" i="71"/>
  <c r="X18" i="71"/>
  <c r="X17" i="71"/>
  <c r="AB24" i="71"/>
  <c r="D50" i="71"/>
  <c r="C51" i="71"/>
  <c r="T56" i="71"/>
  <c r="C55" i="71"/>
  <c r="AI10" i="43"/>
  <c r="E11" i="71"/>
  <c r="E10" i="71"/>
  <c r="E9" i="71"/>
  <c r="E8" i="71"/>
  <c r="V12" i="71"/>
  <c r="C11" i="71"/>
  <c r="T20" i="71"/>
  <c r="D20" i="71"/>
  <c r="D47" i="71"/>
  <c r="C48" i="71"/>
  <c r="AB18" i="71"/>
  <c r="X20" i="71"/>
  <c r="X22" i="71"/>
  <c r="X23" i="71"/>
  <c r="X24" i="71"/>
  <c r="C35" i="71"/>
  <c r="D35" i="71"/>
  <c r="D34" i="71"/>
  <c r="AE12" i="43"/>
  <c r="AE10" i="43"/>
  <c r="X15" i="71"/>
  <c r="AA13" i="71"/>
  <c r="X10" i="71"/>
  <c r="AA14" i="71"/>
  <c r="Y17" i="71"/>
  <c r="Z17" i="71"/>
  <c r="AB17" i="71"/>
  <c r="AA18" i="71"/>
  <c r="X21" i="71"/>
  <c r="AB22" i="71"/>
  <c r="AA3" i="71"/>
  <c r="F31" i="15"/>
  <c r="M20" i="67"/>
  <c r="B41" i="1"/>
  <c r="F28" i="67"/>
  <c r="C28" i="67"/>
  <c r="G30" i="6"/>
  <c r="G31" i="6"/>
  <c r="D22" i="15"/>
  <c r="G25" i="12"/>
  <c r="G41" i="11"/>
  <c r="G27" i="12"/>
  <c r="G41" i="68"/>
  <c r="G13" i="1"/>
  <c r="G11" i="1"/>
  <c r="G9" i="1"/>
  <c r="A2" i="9"/>
  <c r="A4" i="52"/>
  <c r="B41" i="72"/>
  <c r="B19" i="53"/>
  <c r="B37" i="72"/>
  <c r="D125" i="9"/>
  <c r="D11" i="52"/>
  <c r="D10" i="52"/>
  <c r="P22" i="43"/>
  <c r="O19" i="43"/>
  <c r="M47" i="9"/>
  <c r="C7" i="40"/>
  <c r="C63" i="40"/>
  <c r="C7" i="21"/>
  <c r="C58" i="21"/>
  <c r="D58" i="21"/>
  <c r="C7" i="33"/>
  <c r="C58" i="33"/>
  <c r="C7" i="39"/>
  <c r="C68" i="39"/>
  <c r="C7" i="36"/>
  <c r="C46" i="36"/>
  <c r="C7" i="37"/>
  <c r="C52" i="37"/>
  <c r="D52" i="37"/>
  <c r="J51" i="15"/>
  <c r="AP7" i="1"/>
  <c r="I101" i="43"/>
  <c r="B113" i="43"/>
  <c r="AF11" i="43"/>
  <c r="AF13" i="43" s="1"/>
  <c r="G1" i="69"/>
  <c r="F3" i="35"/>
  <c r="Z7" i="43"/>
  <c r="L101" i="43"/>
  <c r="L104" i="43" s="1"/>
  <c r="G101" i="43"/>
  <c r="Y11" i="43"/>
  <c r="Y13" i="43"/>
  <c r="AG11" i="43"/>
  <c r="AB11" i="43"/>
  <c r="AB13" i="43" s="1"/>
  <c r="AJ11" i="43"/>
  <c r="AJ13" i="43" s="1"/>
  <c r="L102" i="43"/>
  <c r="D101" i="43"/>
  <c r="D109" i="43"/>
  <c r="J101" i="43"/>
  <c r="J105" i="43"/>
  <c r="F101" i="43"/>
  <c r="F104" i="43"/>
  <c r="AP6" i="1"/>
  <c r="J22" i="43"/>
  <c r="AA11" i="43"/>
  <c r="AA13" i="43"/>
  <c r="AE11" i="43"/>
  <c r="AE13" i="43"/>
  <c r="AI11" i="43"/>
  <c r="AI13" i="43"/>
  <c r="Z11" i="43"/>
  <c r="AD11" i="43"/>
  <c r="AD13" i="43" s="1"/>
  <c r="AH11" i="43"/>
  <c r="I117" i="43"/>
  <c r="J117" i="43" s="1"/>
  <c r="K117" i="43" s="1"/>
  <c r="L117" i="43" s="1"/>
  <c r="M117" i="43" s="1"/>
  <c r="E101" i="43"/>
  <c r="E109" i="43"/>
  <c r="M101" i="43"/>
  <c r="M106" i="43"/>
  <c r="H101" i="43"/>
  <c r="H105" i="43"/>
  <c r="H22" i="43"/>
  <c r="D9" i="11"/>
  <c r="C9" i="11" s="1"/>
  <c r="N104" i="46"/>
  <c r="C101" i="43"/>
  <c r="N101" i="43"/>
  <c r="K101" i="43"/>
  <c r="K109" i="43" s="1"/>
  <c r="E58" i="21"/>
  <c r="G17" i="43"/>
  <c r="C16" i="43"/>
  <c r="D5" i="43"/>
  <c r="U15" i="21"/>
  <c r="AB15" i="21"/>
  <c r="D48" i="35"/>
  <c r="D46" i="36"/>
  <c r="AC9" i="34"/>
  <c r="W9" i="34"/>
  <c r="AB9" i="36"/>
  <c r="U9" i="36"/>
  <c r="P24" i="43"/>
  <c r="B66" i="40"/>
  <c r="P21" i="43"/>
  <c r="P23" i="43"/>
  <c r="B71" i="39"/>
  <c r="P25" i="43"/>
  <c r="AC11" i="37"/>
  <c r="AC17" i="21"/>
  <c r="W17" i="21"/>
  <c r="W37" i="21"/>
  <c r="AC37" i="21"/>
  <c r="AA37" i="21"/>
  <c r="S37" i="21"/>
  <c r="D59" i="34"/>
  <c r="AZ521" i="3"/>
  <c r="AB40" i="40"/>
  <c r="U40" i="40"/>
  <c r="AA19" i="33"/>
  <c r="S20" i="36"/>
  <c r="C105" i="43"/>
  <c r="AA10" i="33"/>
  <c r="AA35" i="33"/>
  <c r="AC39" i="34"/>
  <c r="U44" i="34"/>
  <c r="AA27" i="40"/>
  <c r="AB27" i="40"/>
  <c r="AA34" i="33"/>
  <c r="AA39" i="34"/>
  <c r="AC11" i="39"/>
  <c r="F29" i="6"/>
  <c r="H9" i="34"/>
  <c r="J34" i="35"/>
  <c r="H34" i="35"/>
  <c r="F34" i="35"/>
  <c r="F23" i="36"/>
  <c r="W29" i="33"/>
  <c r="S45" i="33"/>
  <c r="AC30" i="34"/>
  <c r="W11" i="35"/>
  <c r="S11" i="36"/>
  <c r="AB26" i="33"/>
  <c r="AB11" i="36"/>
  <c r="AA14" i="33"/>
  <c r="AA44" i="33"/>
  <c r="H36" i="35"/>
  <c r="J36" i="35"/>
  <c r="W31" i="35"/>
  <c r="AC31" i="35"/>
  <c r="AZ398" i="3"/>
  <c r="AZ405" i="3"/>
  <c r="AZ407" i="3"/>
  <c r="AZ410" i="3"/>
  <c r="AZ415" i="3"/>
  <c r="AZ420" i="3"/>
  <c r="AZ426" i="3"/>
  <c r="AZ431" i="3"/>
  <c r="AZ436" i="3"/>
  <c r="AZ448" i="3"/>
  <c r="AZ452" i="3"/>
  <c r="AZ461" i="3"/>
  <c r="AZ463" i="3"/>
  <c r="AZ468" i="3"/>
  <c r="AZ470" i="3"/>
  <c r="AZ479" i="3"/>
  <c r="AZ485" i="3"/>
  <c r="AZ226" i="3"/>
  <c r="AZ230" i="3"/>
  <c r="AZ489" i="3"/>
  <c r="AZ208" i="3"/>
  <c r="AZ211" i="3"/>
  <c r="AZ219" i="3"/>
  <c r="AZ236" i="3"/>
  <c r="AZ247" i="3"/>
  <c r="AZ285" i="3"/>
  <c r="AZ293" i="3"/>
  <c r="AZ298" i="3"/>
  <c r="AZ90" i="3"/>
  <c r="F6" i="1"/>
  <c r="F7" i="1"/>
  <c r="AZ264" i="3"/>
  <c r="AZ22" i="3"/>
  <c r="AZ54" i="3"/>
  <c r="AZ57" i="3"/>
  <c r="AZ70" i="3"/>
  <c r="C14" i="71"/>
  <c r="D14" i="71"/>
  <c r="D15" i="71"/>
  <c r="B15" i="71"/>
  <c r="B14" i="71"/>
  <c r="S16" i="71"/>
  <c r="C27" i="71"/>
  <c r="D26" i="71"/>
  <c r="AZ92" i="3"/>
  <c r="AZ96" i="3"/>
  <c r="AZ99" i="3"/>
  <c r="AZ112" i="3"/>
  <c r="P54" i="71"/>
  <c r="P53" i="71"/>
  <c r="D31" i="71"/>
  <c r="C32" i="71"/>
  <c r="D42" i="71"/>
  <c r="C43" i="71"/>
  <c r="B7" i="1"/>
  <c r="E7" i="1"/>
  <c r="D22" i="67"/>
  <c r="C40" i="69"/>
  <c r="S18" i="36"/>
  <c r="F18" i="71"/>
  <c r="F19" i="71"/>
  <c r="F20" i="71"/>
  <c r="V20" i="71"/>
  <c r="F22" i="71"/>
  <c r="F23" i="71"/>
  <c r="F24" i="71"/>
  <c r="V24" i="71"/>
  <c r="F26" i="71"/>
  <c r="F27" i="71"/>
  <c r="F28" i="71"/>
  <c r="V28" i="71"/>
  <c r="V56" i="71"/>
  <c r="F55" i="71"/>
  <c r="P74" i="15"/>
  <c r="P61" i="15"/>
  <c r="Y11" i="71"/>
  <c r="Z11" i="71"/>
  <c r="AA6" i="71"/>
  <c r="Y5" i="71"/>
  <c r="Z5" i="71"/>
  <c r="Y6" i="71"/>
  <c r="Z6" i="71"/>
  <c r="AA5" i="71"/>
  <c r="V16" i="71"/>
  <c r="AA16" i="71"/>
  <c r="AB16" i="71"/>
  <c r="AB14" i="71"/>
  <c r="D64" i="71"/>
  <c r="Q56" i="71"/>
  <c r="D56" i="71"/>
  <c r="AB12" i="71"/>
  <c r="X16" i="71"/>
  <c r="X14" i="71"/>
  <c r="Y16" i="71"/>
  <c r="Z16" i="71"/>
  <c r="Y15" i="71"/>
  <c r="Z15" i="71"/>
  <c r="Y14" i="71"/>
  <c r="Z14" i="71"/>
  <c r="Y13" i="71"/>
  <c r="Z13" i="71"/>
  <c r="Y3" i="71"/>
  <c r="Z3" i="71"/>
  <c r="AA20" i="71"/>
  <c r="AA19" i="71"/>
  <c r="Y18" i="71"/>
  <c r="Z18" i="71"/>
  <c r="AB19" i="71"/>
  <c r="Y22" i="71"/>
  <c r="Z22" i="71"/>
  <c r="AB23" i="71"/>
  <c r="Y26" i="71"/>
  <c r="Z26" i="71"/>
  <c r="Z12" i="43"/>
  <c r="Z10" i="43"/>
  <c r="AD12" i="43"/>
  <c r="AD10" i="43"/>
  <c r="AF12" i="43"/>
  <c r="AF10" i="43"/>
  <c r="AH12" i="43"/>
  <c r="AH10" i="43"/>
  <c r="AA12" i="71"/>
  <c r="Y10" i="71"/>
  <c r="Z10" i="71"/>
  <c r="AA11" i="71"/>
  <c r="AB11" i="71"/>
  <c r="AB6" i="71"/>
  <c r="C5" i="43"/>
  <c r="AC12" i="43"/>
  <c r="AC10" i="43"/>
  <c r="AG12" i="43"/>
  <c r="AG10" i="43"/>
  <c r="X12" i="71"/>
  <c r="P61" i="67"/>
  <c r="P74" i="67"/>
  <c r="B11" i="71"/>
  <c r="B10" i="71"/>
  <c r="B9" i="71"/>
  <c r="B8" i="71"/>
  <c r="Y12" i="71"/>
  <c r="Z12" i="71"/>
  <c r="AA10" i="71"/>
  <c r="X9" i="71"/>
  <c r="Y9" i="71"/>
  <c r="Z9" i="71"/>
  <c r="AA9" i="71"/>
  <c r="AB9" i="71"/>
  <c r="X6" i="71"/>
  <c r="X5" i="71"/>
  <c r="AB5" i="71"/>
  <c r="U9" i="39"/>
  <c r="C94" i="9"/>
  <c r="C92" i="9"/>
  <c r="D68" i="9"/>
  <c r="M18" i="15"/>
  <c r="F52" i="9"/>
  <c r="C40" i="68"/>
  <c r="D23" i="67"/>
  <c r="G1" i="67"/>
  <c r="BL13" i="3"/>
  <c r="BL5" i="3"/>
  <c r="F30" i="6"/>
  <c r="H107" i="43"/>
  <c r="E29" i="6"/>
  <c r="L19" i="6"/>
  <c r="E22" i="43"/>
  <c r="E107" i="43"/>
  <c r="H109" i="43"/>
  <c r="AR9" i="1"/>
  <c r="AQ11" i="1"/>
  <c r="AR11" i="1"/>
  <c r="AR10" i="1"/>
  <c r="J109" i="43"/>
  <c r="F107" i="43"/>
  <c r="I118" i="43"/>
  <c r="J118" i="43" s="1"/>
  <c r="K118" i="43" s="1"/>
  <c r="L118" i="43" s="1"/>
  <c r="M118" i="43" s="1"/>
  <c r="G22" i="43"/>
  <c r="D9" i="69"/>
  <c r="C9" i="69" s="1"/>
  <c r="D102" i="43"/>
  <c r="K1" i="73"/>
  <c r="F59" i="15"/>
  <c r="M17" i="15"/>
  <c r="F31" i="67"/>
  <c r="T48" i="71"/>
  <c r="D48" i="71"/>
  <c r="C10" i="71"/>
  <c r="D11" i="71"/>
  <c r="E7" i="71"/>
  <c r="E6" i="71"/>
  <c r="E5" i="71"/>
  <c r="V8" i="71"/>
  <c r="O55" i="71"/>
  <c r="D55" i="71"/>
  <c r="C54" i="71"/>
  <c r="C52" i="71"/>
  <c r="D51" i="71"/>
  <c r="T40" i="71"/>
  <c r="D40" i="71"/>
  <c r="AZ477" i="3"/>
  <c r="AZ454" i="3"/>
  <c r="AZ422" i="3"/>
  <c r="AZ550" i="3"/>
  <c r="AA44" i="39"/>
  <c r="S44" i="39"/>
  <c r="AA26" i="33"/>
  <c r="S26" i="33"/>
  <c r="AC12" i="21"/>
  <c r="W12" i="21"/>
  <c r="AC35" i="39"/>
  <c r="W35" i="39"/>
  <c r="AB35" i="39"/>
  <c r="U35" i="39"/>
  <c r="W33" i="36"/>
  <c r="AC33" i="36"/>
  <c r="W34" i="36"/>
  <c r="AC34" i="36"/>
  <c r="AC23" i="35"/>
  <c r="W23" i="35"/>
  <c r="C23" i="71"/>
  <c r="D22" i="71"/>
  <c r="AZ245" i="3"/>
  <c r="AA40" i="40"/>
  <c r="S40" i="40"/>
  <c r="AC44" i="39"/>
  <c r="W44" i="39"/>
  <c r="AB44" i="39"/>
  <c r="U44" i="39"/>
  <c r="AC26" i="33"/>
  <c r="W26" i="33"/>
  <c r="AA35" i="39"/>
  <c r="S35" i="39"/>
  <c r="S33" i="36"/>
  <c r="AA33" i="36"/>
  <c r="AB33" i="36"/>
  <c r="U33" i="36"/>
  <c r="AB34" i="36"/>
  <c r="U34" i="36"/>
  <c r="U23" i="35"/>
  <c r="AB23" i="35"/>
  <c r="F30" i="69"/>
  <c r="F30" i="11"/>
  <c r="F28" i="15"/>
  <c r="C28" i="15"/>
  <c r="F30" i="68"/>
  <c r="C30" i="68"/>
  <c r="F32" i="67"/>
  <c r="F60" i="67"/>
  <c r="F32" i="15"/>
  <c r="F60" i="15"/>
  <c r="F54" i="9"/>
  <c r="M18" i="67"/>
  <c r="F31" i="12"/>
  <c r="F53" i="9"/>
  <c r="C36" i="69"/>
  <c r="B116" i="43"/>
  <c r="C116" i="43" s="1"/>
  <c r="D58" i="33"/>
  <c r="E58" i="33"/>
  <c r="F58" i="33"/>
  <c r="G58" i="33"/>
  <c r="H58" i="33"/>
  <c r="I58" i="33"/>
  <c r="J58" i="33"/>
  <c r="K58" i="33"/>
  <c r="L58" i="33"/>
  <c r="M58" i="33"/>
  <c r="N58" i="33"/>
  <c r="O58" i="33"/>
  <c r="H7" i="33"/>
  <c r="F7" i="33"/>
  <c r="C65" i="40"/>
  <c r="D63" i="40"/>
  <c r="D68" i="39"/>
  <c r="C70" i="39"/>
  <c r="F103" i="43"/>
  <c r="G109" i="43"/>
  <c r="I116" i="43"/>
  <c r="J116" i="43" s="1"/>
  <c r="K116" i="43" s="1"/>
  <c r="L116" i="43" s="1"/>
  <c r="M116" i="43"/>
  <c r="F109" i="43"/>
  <c r="F106" i="43"/>
  <c r="E104" i="43"/>
  <c r="E102" i="43"/>
  <c r="G106" i="43"/>
  <c r="D105" i="43"/>
  <c r="M105" i="43"/>
  <c r="D107" i="43"/>
  <c r="D104" i="43"/>
  <c r="G105" i="43"/>
  <c r="M109" i="43"/>
  <c r="K104" i="43"/>
  <c r="J102" i="43"/>
  <c r="J107" i="43"/>
  <c r="J106" i="43"/>
  <c r="D103" i="43"/>
  <c r="M103" i="43"/>
  <c r="M104" i="43"/>
  <c r="D106" i="43"/>
  <c r="J103" i="43"/>
  <c r="J104" i="43"/>
  <c r="M102" i="43"/>
  <c r="M107" i="43"/>
  <c r="AG13" i="43"/>
  <c r="F102" i="43"/>
  <c r="F105" i="43"/>
  <c r="N102" i="43"/>
  <c r="N103" i="43"/>
  <c r="H103" i="43"/>
  <c r="H104" i="43"/>
  <c r="E106" i="43"/>
  <c r="H106" i="43"/>
  <c r="H102" i="43"/>
  <c r="E105" i="43"/>
  <c r="E103" i="43"/>
  <c r="AH13" i="43"/>
  <c r="Z13" i="43"/>
  <c r="N105" i="43"/>
  <c r="C104" i="43"/>
  <c r="C107" i="43"/>
  <c r="C109" i="43"/>
  <c r="D43" i="71"/>
  <c r="C44" i="71"/>
  <c r="T32" i="71"/>
  <c r="D32" i="71"/>
  <c r="AC36" i="35"/>
  <c r="W36" i="35"/>
  <c r="AA23" i="36"/>
  <c r="S23" i="36"/>
  <c r="AB34" i="35"/>
  <c r="U34" i="35"/>
  <c r="AB9" i="34"/>
  <c r="U9" i="34"/>
  <c r="E59" i="34"/>
  <c r="E52" i="37"/>
  <c r="E46" i="36"/>
  <c r="F58" i="21"/>
  <c r="S8" i="71"/>
  <c r="B7" i="71"/>
  <c r="B6" i="71"/>
  <c r="B5" i="71"/>
  <c r="F54" i="71"/>
  <c r="Q55" i="71"/>
  <c r="D27" i="71"/>
  <c r="C28" i="71"/>
  <c r="U36" i="35"/>
  <c r="AB36" i="35"/>
  <c r="S34" i="35"/>
  <c r="AA34" i="35"/>
  <c r="AC34" i="35"/>
  <c r="W34" i="35"/>
  <c r="E48" i="35"/>
  <c r="C48" i="11"/>
  <c r="C30" i="11"/>
  <c r="C48" i="69"/>
  <c r="C30" i="69"/>
  <c r="C48" i="68"/>
  <c r="K15" i="1"/>
  <c r="E30" i="6"/>
  <c r="F59" i="67"/>
  <c r="M17" i="67"/>
  <c r="J7" i="33"/>
  <c r="AC7" i="33"/>
  <c r="V48" i="33"/>
  <c r="I48" i="33"/>
  <c r="I52" i="33"/>
  <c r="J52" i="33"/>
  <c r="D23" i="71"/>
  <c r="C24" i="71"/>
  <c r="T52" i="71"/>
  <c r="D52" i="71"/>
  <c r="D54" i="71"/>
  <c r="O54" i="71"/>
  <c r="O53" i="71"/>
  <c r="D10" i="71"/>
  <c r="C9" i="71"/>
  <c r="D65" i="40"/>
  <c r="E63" i="40"/>
  <c r="AA7" i="33"/>
  <c r="R48" i="33"/>
  <c r="S7" i="33"/>
  <c r="W7" i="33"/>
  <c r="D70" i="39"/>
  <c r="E68" i="39"/>
  <c r="AB7" i="33"/>
  <c r="T48" i="33"/>
  <c r="G48" i="33"/>
  <c r="U7" i="33"/>
  <c r="S5" i="43"/>
  <c r="S7" i="43"/>
  <c r="S2" i="43"/>
  <c r="S6" i="43"/>
  <c r="C23" i="43"/>
  <c r="S3" i="43"/>
  <c r="S4" i="43"/>
  <c r="Q54" i="71"/>
  <c r="Q53" i="71"/>
  <c r="G58" i="21"/>
  <c r="H58" i="21"/>
  <c r="I58" i="21"/>
  <c r="J58" i="21"/>
  <c r="K58" i="21"/>
  <c r="L58" i="21"/>
  <c r="M58" i="21"/>
  <c r="N58" i="21"/>
  <c r="O58" i="21"/>
  <c r="F7" i="21"/>
  <c r="F59" i="34"/>
  <c r="T44" i="71"/>
  <c r="D44" i="71"/>
  <c r="F48" i="35"/>
  <c r="T28" i="71"/>
  <c r="D28" i="71"/>
  <c r="F46" i="36"/>
  <c r="F52" i="37"/>
  <c r="C8" i="71"/>
  <c r="D9" i="71"/>
  <c r="T24" i="71"/>
  <c r="D24" i="71"/>
  <c r="G53" i="33"/>
  <c r="H53" i="33"/>
  <c r="G52" i="33"/>
  <c r="H52" i="33"/>
  <c r="F63" i="40"/>
  <c r="E65" i="40"/>
  <c r="J7" i="21"/>
  <c r="W7" i="21"/>
  <c r="H7" i="21"/>
  <c r="U7" i="21"/>
  <c r="E70" i="39"/>
  <c r="F68" i="39"/>
  <c r="E48" i="33"/>
  <c r="R49" i="33"/>
  <c r="G52" i="37"/>
  <c r="AC7" i="21"/>
  <c r="I48" i="21"/>
  <c r="G48" i="35"/>
  <c r="G59" i="34"/>
  <c r="S7" i="21"/>
  <c r="AA7" i="21"/>
  <c r="G46" i="36"/>
  <c r="AB7" i="21"/>
  <c r="G48" i="21"/>
  <c r="C7" i="71"/>
  <c r="T8" i="71"/>
  <c r="D8" i="71"/>
  <c r="U8" i="71"/>
  <c r="C48" i="33"/>
  <c r="C49" i="33"/>
  <c r="F70" i="39"/>
  <c r="G68" i="39"/>
  <c r="F65" i="40"/>
  <c r="G63" i="40"/>
  <c r="E53" i="33"/>
  <c r="F53" i="33"/>
  <c r="E52" i="33"/>
  <c r="F52" i="33"/>
  <c r="I53" i="33"/>
  <c r="J53" i="33"/>
  <c r="G52" i="21"/>
  <c r="H52" i="21"/>
  <c r="G53" i="21"/>
  <c r="H53" i="21"/>
  <c r="H46" i="36"/>
  <c r="I52" i="21"/>
  <c r="J52" i="21"/>
  <c r="E48" i="21"/>
  <c r="I53" i="21"/>
  <c r="J53" i="21"/>
  <c r="H59" i="34"/>
  <c r="H48" i="35"/>
  <c r="H52" i="37"/>
  <c r="C8" i="69"/>
  <c r="C5" i="69"/>
  <c r="C6" i="71"/>
  <c r="D7" i="71"/>
  <c r="G65" i="40"/>
  <c r="H63" i="40"/>
  <c r="H68" i="39"/>
  <c r="G70" i="39"/>
  <c r="I52" i="37"/>
  <c r="I48" i="35"/>
  <c r="I59" i="34"/>
  <c r="E52" i="21"/>
  <c r="F52" i="21"/>
  <c r="E53" i="21"/>
  <c r="F53" i="21"/>
  <c r="I46" i="36"/>
  <c r="C48" i="21"/>
  <c r="C19" i="68"/>
  <c r="C19" i="69"/>
  <c r="C5" i="71"/>
  <c r="D5" i="71"/>
  <c r="M20" i="43"/>
  <c r="C19" i="43"/>
  <c r="C39" i="43"/>
  <c r="D6" i="71"/>
  <c r="I63" i="40"/>
  <c r="H65" i="40"/>
  <c r="H70" i="39"/>
  <c r="I68" i="39"/>
  <c r="T5" i="43"/>
  <c r="V5" i="43"/>
  <c r="C36" i="43"/>
  <c r="C34" i="43"/>
  <c r="T14" i="43"/>
  <c r="V14" i="43"/>
  <c r="T15" i="43"/>
  <c r="V15" i="43"/>
  <c r="T11" i="43"/>
  <c r="V11" i="43"/>
  <c r="T6" i="43"/>
  <c r="V6" i="43"/>
  <c r="C38" i="43"/>
  <c r="C33" i="43"/>
  <c r="T8" i="43"/>
  <c r="V8" i="43"/>
  <c r="T9" i="43"/>
  <c r="V9" i="43"/>
  <c r="J46" i="36"/>
  <c r="K46" i="36"/>
  <c r="L46" i="36"/>
  <c r="M46" i="36"/>
  <c r="N46" i="36"/>
  <c r="O46" i="36"/>
  <c r="J7" i="36"/>
  <c r="H7" i="36"/>
  <c r="F7" i="36"/>
  <c r="J59" i="34"/>
  <c r="J48" i="35"/>
  <c r="J52" i="37"/>
  <c r="K52" i="37"/>
  <c r="L52" i="37"/>
  <c r="M52" i="37"/>
  <c r="N52" i="37"/>
  <c r="O52" i="37"/>
  <c r="C20" i="69"/>
  <c r="H7" i="37"/>
  <c r="T10" i="43"/>
  <c r="V10" i="43"/>
  <c r="T16" i="43"/>
  <c r="V16" i="43"/>
  <c r="T7" i="43"/>
  <c r="V7" i="43" s="1"/>
  <c r="C35" i="43"/>
  <c r="G35" i="43"/>
  <c r="I35" i="43"/>
  <c r="T3" i="43"/>
  <c r="V3" i="43" s="1"/>
  <c r="T4" i="43"/>
  <c r="V4" i="43" s="1"/>
  <c r="T12" i="43"/>
  <c r="V12" i="43"/>
  <c r="T13" i="43"/>
  <c r="V13" i="43"/>
  <c r="T2" i="43"/>
  <c r="V2" i="43" s="1"/>
  <c r="C37" i="43"/>
  <c r="G37" i="43"/>
  <c r="I37" i="43"/>
  <c r="J68" i="39"/>
  <c r="I70" i="39"/>
  <c r="I65" i="40"/>
  <c r="J63" i="40"/>
  <c r="S7" i="36"/>
  <c r="AA7" i="36"/>
  <c r="R36" i="36"/>
  <c r="AC7" i="36"/>
  <c r="V36" i="36"/>
  <c r="I36" i="36"/>
  <c r="W7" i="36"/>
  <c r="E35" i="43"/>
  <c r="E37" i="43"/>
  <c r="E39" i="43"/>
  <c r="G39" i="43"/>
  <c r="I39" i="43"/>
  <c r="AB7" i="37"/>
  <c r="T42" i="37"/>
  <c r="G42" i="37"/>
  <c r="U7" i="37"/>
  <c r="F7" i="37"/>
  <c r="J7" i="37"/>
  <c r="K48" i="35"/>
  <c r="K59" i="34"/>
  <c r="AB7" i="36"/>
  <c r="T36" i="36"/>
  <c r="G36" i="36"/>
  <c r="U7" i="36"/>
  <c r="E33" i="43"/>
  <c r="G33" i="43"/>
  <c r="I33" i="43"/>
  <c r="G38" i="43"/>
  <c r="I38" i="43"/>
  <c r="E38" i="43"/>
  <c r="E34" i="43"/>
  <c r="G34" i="43"/>
  <c r="I34" i="43"/>
  <c r="E36" i="43"/>
  <c r="G36" i="43"/>
  <c r="I36" i="43"/>
  <c r="K63" i="40"/>
  <c r="J65" i="40"/>
  <c r="J70" i="39"/>
  <c r="K68" i="39"/>
  <c r="AC7" i="37"/>
  <c r="V42" i="37"/>
  <c r="I42" i="37"/>
  <c r="W7" i="37"/>
  <c r="R37" i="36"/>
  <c r="E36" i="36"/>
  <c r="G40" i="36"/>
  <c r="H40" i="36"/>
  <c r="G41" i="36"/>
  <c r="H41" i="36"/>
  <c r="L59" i="34"/>
  <c r="L48" i="35"/>
  <c r="AA7" i="37"/>
  <c r="R42" i="37"/>
  <c r="S7" i="37"/>
  <c r="G47" i="37"/>
  <c r="H47" i="37"/>
  <c r="G46" i="37"/>
  <c r="H46" i="37"/>
  <c r="I40" i="36"/>
  <c r="J40" i="36"/>
  <c r="I41" i="36"/>
  <c r="J41" i="36"/>
  <c r="K70" i="39"/>
  <c r="L68" i="39"/>
  <c r="K65" i="40"/>
  <c r="L63" i="40"/>
  <c r="E40" i="36"/>
  <c r="F40" i="36"/>
  <c r="E41" i="36"/>
  <c r="F41" i="36"/>
  <c r="R43" i="37"/>
  <c r="E42" i="37"/>
  <c r="M48" i="35"/>
  <c r="N48" i="35"/>
  <c r="O48" i="35"/>
  <c r="M59" i="34"/>
  <c r="N59" i="34"/>
  <c r="O59" i="34"/>
  <c r="J7" i="34"/>
  <c r="F7" i="34"/>
  <c r="C36" i="36"/>
  <c r="C37" i="36"/>
  <c r="I47" i="37"/>
  <c r="J47" i="37"/>
  <c r="I46" i="37"/>
  <c r="J46" i="37"/>
  <c r="M68" i="39"/>
  <c r="L70" i="39"/>
  <c r="H7" i="34"/>
  <c r="H7" i="35"/>
  <c r="U7" i="35"/>
  <c r="L65" i="40"/>
  <c r="M63" i="40"/>
  <c r="S7" i="34"/>
  <c r="AA7" i="34"/>
  <c r="R49" i="34"/>
  <c r="AC7" i="34"/>
  <c r="V49" i="34"/>
  <c r="I49" i="34"/>
  <c r="W7" i="34"/>
  <c r="J7" i="35"/>
  <c r="F7" i="35"/>
  <c r="C43" i="37"/>
  <c r="C42" i="37"/>
  <c r="U7" i="34"/>
  <c r="AB7" i="34"/>
  <c r="T49" i="34"/>
  <c r="G49" i="34"/>
  <c r="AB7" i="35"/>
  <c r="T38" i="35"/>
  <c r="G38" i="35"/>
  <c r="E47" i="37"/>
  <c r="F47" i="37"/>
  <c r="E46" i="37"/>
  <c r="F46" i="37"/>
  <c r="N63" i="40"/>
  <c r="M65" i="40"/>
  <c r="M70" i="39"/>
  <c r="N68" i="39"/>
  <c r="G42" i="35"/>
  <c r="H42" i="35"/>
  <c r="G53" i="34"/>
  <c r="H53" i="34"/>
  <c r="G54" i="34"/>
  <c r="H54" i="34"/>
  <c r="S7" i="35"/>
  <c r="AA7" i="35"/>
  <c r="R38" i="35"/>
  <c r="R50" i="34"/>
  <c r="E49" i="34"/>
  <c r="W7" i="35"/>
  <c r="AC7" i="35"/>
  <c r="V38" i="35"/>
  <c r="I38" i="35"/>
  <c r="I53" i="34"/>
  <c r="J53" i="34"/>
  <c r="I54" i="34"/>
  <c r="J54" i="34"/>
  <c r="N70" i="39"/>
  <c r="O68" i="39"/>
  <c r="O70" i="39"/>
  <c r="O63" i="40"/>
  <c r="O65" i="40"/>
  <c r="N65" i="40"/>
  <c r="I42" i="35"/>
  <c r="J42" i="35"/>
  <c r="E54" i="34"/>
  <c r="F54" i="34"/>
  <c r="E53" i="34"/>
  <c r="F53" i="34"/>
  <c r="E38" i="35"/>
  <c r="I43" i="35"/>
  <c r="J43" i="35"/>
  <c r="R39" i="35"/>
  <c r="C49" i="34"/>
  <c r="C50" i="34"/>
  <c r="G43" i="35"/>
  <c r="H43" i="35"/>
  <c r="U7" i="39"/>
  <c r="J7" i="40"/>
  <c r="F7" i="40"/>
  <c r="H7" i="40"/>
  <c r="C38" i="35"/>
  <c r="C39" i="35"/>
  <c r="E43" i="35"/>
  <c r="F43" i="35"/>
  <c r="E42" i="35"/>
  <c r="F42" i="35"/>
  <c r="S7" i="39"/>
  <c r="S7" i="40"/>
  <c r="AA7" i="40"/>
  <c r="R42" i="40"/>
  <c r="W7" i="39"/>
  <c r="U7" i="40"/>
  <c r="AB7" i="40"/>
  <c r="T42" i="40"/>
  <c r="G42" i="40" s="1"/>
  <c r="W7" i="40"/>
  <c r="AC7" i="40"/>
  <c r="V42" i="40"/>
  <c r="I42" i="40" s="1"/>
  <c r="G47" i="40"/>
  <c r="H47" i="40" s="1"/>
  <c r="R43" i="40"/>
  <c r="C43" i="40" s="1"/>
  <c r="E42" i="40"/>
  <c r="E46" i="40" s="1"/>
  <c r="F46" i="40" s="1"/>
  <c r="B54" i="40"/>
  <c r="F54" i="40" s="1"/>
  <c r="B57" i="40"/>
  <c r="F50" i="11"/>
  <c r="F50" i="69"/>
  <c r="C8" i="68"/>
  <c r="J61" i="83"/>
  <c r="J64" i="83"/>
  <c r="L73" i="83"/>
  <c r="L77" i="83"/>
  <c r="L78" i="83" s="1"/>
  <c r="N73" i="83"/>
  <c r="F4" i="73"/>
  <c r="F36" i="15"/>
  <c r="F42" i="15"/>
  <c r="F3" i="73"/>
  <c r="F6" i="15"/>
  <c r="F6" i="73"/>
  <c r="E10" i="76"/>
  <c r="AO7" i="1"/>
  <c r="AO12" i="1"/>
  <c r="B11" i="76"/>
  <c r="E9" i="76"/>
  <c r="F43" i="67"/>
  <c r="F8" i="67"/>
  <c r="L48" i="67"/>
  <c r="D7" i="73"/>
  <c r="M22" i="15"/>
  <c r="D2" i="21"/>
  <c r="F38" i="67"/>
  <c r="F36" i="67"/>
  <c r="F40" i="15"/>
  <c r="M24" i="15"/>
  <c r="C76" i="67"/>
  <c r="F35" i="67"/>
  <c r="B7" i="76"/>
  <c r="F26" i="67"/>
  <c r="F38" i="15"/>
  <c r="F41" i="67"/>
  <c r="E12" i="76"/>
  <c r="M28" i="15"/>
  <c r="D2" i="37"/>
  <c r="F9" i="15"/>
  <c r="L48" i="15"/>
  <c r="D2" i="35"/>
  <c r="B10" i="76"/>
  <c r="B8" i="76"/>
  <c r="AO6" i="1"/>
  <c r="AO13" i="1"/>
  <c r="E2" i="69"/>
  <c r="M23" i="67"/>
  <c r="L47" i="67"/>
  <c r="M28" i="67"/>
  <c r="F9" i="67"/>
  <c r="L47" i="15"/>
  <c r="E13" i="76"/>
  <c r="F16" i="67"/>
  <c r="D2" i="34"/>
  <c r="D4" i="73"/>
  <c r="F8" i="15"/>
  <c r="F16" i="15"/>
  <c r="F37" i="15"/>
  <c r="M6" i="15"/>
  <c r="E8" i="76"/>
  <c r="M9" i="15"/>
  <c r="F7" i="73"/>
  <c r="F5" i="73"/>
  <c r="E7" i="76"/>
  <c r="D2" i="36"/>
  <c r="B12" i="76"/>
  <c r="F6" i="67"/>
  <c r="F7" i="67"/>
  <c r="M27" i="67"/>
  <c r="M29" i="67"/>
  <c r="B13" i="76"/>
  <c r="C76" i="15"/>
  <c r="M23" i="15"/>
  <c r="M22" i="67"/>
  <c r="M21" i="67"/>
  <c r="B9" i="76"/>
  <c r="E2" i="68"/>
  <c r="F13" i="67"/>
  <c r="M8" i="15"/>
  <c r="F20" i="31"/>
  <c r="M8" i="67"/>
  <c r="AO9" i="1"/>
  <c r="F40" i="67"/>
  <c r="D6" i="73"/>
  <c r="J15" i="67"/>
  <c r="M24" i="67"/>
  <c r="F13" i="15"/>
  <c r="D2" i="85"/>
  <c r="D5" i="73"/>
  <c r="D3" i="73"/>
  <c r="M26" i="15"/>
  <c r="D2" i="33"/>
  <c r="AO11" i="1"/>
  <c r="M27" i="15"/>
  <c r="F37" i="67"/>
  <c r="M6" i="67"/>
  <c r="F42" i="67"/>
  <c r="AO10" i="1"/>
  <c r="J15" i="15"/>
  <c r="M26" i="67"/>
  <c r="F26" i="15"/>
  <c r="M9" i="67"/>
  <c r="E11" i="76"/>
  <c r="E16" i="49" l="1"/>
  <c r="I47" i="40"/>
  <c r="J47" i="40" s="1"/>
  <c r="I46" i="40"/>
  <c r="J46" i="40" s="1"/>
  <c r="E47" i="40"/>
  <c r="F47" i="40" s="1"/>
  <c r="I102" i="43"/>
  <c r="I106" i="43"/>
  <c r="I107" i="43"/>
  <c r="L27" i="6"/>
  <c r="C106" i="43"/>
  <c r="C102" i="43"/>
  <c r="C103" i="43"/>
  <c r="AQ9" i="1"/>
  <c r="T9" i="1"/>
  <c r="K66" i="83"/>
  <c r="O65" i="83" s="1"/>
  <c r="O64" i="83"/>
  <c r="F21" i="6"/>
  <c r="M5" i="3"/>
  <c r="BD13" i="3"/>
  <c r="H13" i="3"/>
  <c r="T12" i="1"/>
  <c r="AR12" i="1"/>
  <c r="N74" i="83"/>
  <c r="M11" i="82"/>
  <c r="A3" i="3" s="1"/>
  <c r="M64" i="83"/>
  <c r="K64" i="83"/>
  <c r="J68" i="83"/>
  <c r="B58" i="40"/>
  <c r="B60" i="40"/>
  <c r="B52" i="40"/>
  <c r="F52" i="40" s="1"/>
  <c r="B55" i="40"/>
  <c r="F55" i="40" s="1"/>
  <c r="B51" i="40"/>
  <c r="B56" i="40"/>
  <c r="B59" i="40"/>
  <c r="B53" i="40"/>
  <c r="F53" i="40" s="1"/>
  <c r="C42" i="40"/>
  <c r="G46" i="40"/>
  <c r="H46" i="40" s="1"/>
  <c r="L105" i="43"/>
  <c r="L103" i="43"/>
  <c r="L106" i="43"/>
  <c r="L109" i="43"/>
  <c r="L107" i="43"/>
  <c r="K105" i="43"/>
  <c r="K107" i="43"/>
  <c r="K102" i="43"/>
  <c r="K106" i="43"/>
  <c r="K103" i="43"/>
  <c r="I109" i="43"/>
  <c r="I104" i="43"/>
  <c r="I105" i="43"/>
  <c r="I103" i="43"/>
  <c r="T13" i="1"/>
  <c r="AR13" i="1"/>
  <c r="AQ13" i="1"/>
  <c r="E6" i="49"/>
  <c r="D22" i="43"/>
  <c r="C21" i="43" s="1"/>
  <c r="C29" i="43" s="1"/>
  <c r="N104" i="43"/>
  <c r="N109" i="43"/>
  <c r="N106" i="43"/>
  <c r="N107" i="43"/>
  <c r="G104" i="43"/>
  <c r="G102" i="43"/>
  <c r="G103" i="43"/>
  <c r="G107" i="43"/>
  <c r="D116" i="43"/>
  <c r="E116" i="43" s="1"/>
  <c r="F116" i="43" s="1"/>
  <c r="G116" i="43" s="1"/>
  <c r="H116" i="43" s="1"/>
  <c r="B115" i="43"/>
  <c r="D117" i="43"/>
  <c r="E117" i="43" s="1"/>
  <c r="F117" i="43" s="1"/>
  <c r="G117" i="43" s="1"/>
  <c r="H117" i="43" s="1"/>
  <c r="G118" i="43"/>
  <c r="H118" i="43" s="1"/>
  <c r="B118" i="43"/>
  <c r="C118" i="43" s="1"/>
  <c r="B117" i="43"/>
  <c r="C117" i="43" s="1"/>
  <c r="D115" i="43"/>
  <c r="E115" i="43" s="1"/>
  <c r="F115" i="43" s="1"/>
  <c r="G115" i="43" s="1"/>
  <c r="H115" i="43" s="1"/>
  <c r="I115" i="43"/>
  <c r="J115" i="43" s="1"/>
  <c r="K115" i="43" s="1"/>
  <c r="L115" i="43" s="1"/>
  <c r="M115" i="43" s="1"/>
  <c r="D118" i="43"/>
  <c r="E118" i="43" s="1"/>
  <c r="F118" i="43" s="1"/>
  <c r="T10" i="1"/>
  <c r="AQ10" i="1"/>
  <c r="P64" i="83"/>
  <c r="K67" i="83"/>
  <c r="P65" i="83" s="1"/>
  <c r="O14" i="1"/>
  <c r="P14" i="1" s="1"/>
  <c r="C13" i="12"/>
  <c r="E21" i="6"/>
  <c r="D19" i="12"/>
  <c r="C19" i="12" s="1"/>
  <c r="J28" i="80"/>
  <c r="N75" i="83"/>
  <c r="B14" i="49"/>
  <c r="B6" i="49"/>
  <c r="B10" i="49"/>
  <c r="E9" i="49"/>
  <c r="B5" i="49"/>
  <c r="E22" i="49"/>
  <c r="E17" i="49"/>
  <c r="E14" i="49"/>
  <c r="B11" i="49"/>
  <c r="B15" i="49"/>
  <c r="E8" i="49"/>
  <c r="E13" i="49"/>
  <c r="E4" i="49"/>
  <c r="E5" i="49"/>
  <c r="E11" i="49"/>
  <c r="B4" i="49"/>
  <c r="E7" i="49"/>
  <c r="B9" i="49"/>
  <c r="B8" i="49"/>
  <c r="E15" i="49"/>
  <c r="B22" i="49"/>
  <c r="B13" i="49"/>
  <c r="C4" i="4" s="1"/>
  <c r="K4" i="4" s="1"/>
  <c r="B46" i="48" s="1"/>
  <c r="B4" i="72" s="1"/>
  <c r="E10" i="49"/>
  <c r="E21" i="49"/>
  <c r="B16" i="49"/>
  <c r="C27" i="67"/>
  <c r="B20" i="31"/>
  <c r="E20" i="43"/>
  <c r="F63" i="67"/>
  <c r="C62" i="67" s="1"/>
  <c r="C34" i="67"/>
  <c r="Q71" i="67"/>
  <c r="F68" i="15"/>
  <c r="C27" i="15"/>
  <c r="J20" i="67"/>
  <c r="F68" i="67"/>
  <c r="F64" i="67"/>
  <c r="F69" i="67"/>
  <c r="F66" i="67"/>
  <c r="Q71" i="15"/>
  <c r="M59" i="15"/>
  <c r="L59" i="15" s="1"/>
  <c r="L58" i="15"/>
  <c r="N59" i="15"/>
  <c r="B9" i="70"/>
  <c r="B10" i="70"/>
  <c r="L56" i="67"/>
  <c r="J57" i="67"/>
  <c r="J55" i="67" s="1"/>
  <c r="J58" i="67" s="1"/>
  <c r="Q50" i="67" s="1"/>
  <c r="J53" i="67"/>
  <c r="I54" i="67"/>
  <c r="F70" i="67"/>
  <c r="F51" i="67"/>
  <c r="M7" i="67"/>
  <c r="J6" i="67" s="1"/>
  <c r="F50" i="67"/>
  <c r="L59" i="67"/>
  <c r="N59" i="67"/>
  <c r="L58" i="67"/>
  <c r="M59" i="67"/>
  <c r="F71" i="67"/>
  <c r="F65" i="67"/>
  <c r="C6" i="67"/>
  <c r="B11" i="70"/>
  <c r="B2" i="36"/>
  <c r="B3" i="36" s="1"/>
  <c r="B13" i="70"/>
  <c r="B12" i="70"/>
  <c r="B6" i="70"/>
  <c r="B7" i="70"/>
  <c r="B2" i="35"/>
  <c r="B3" i="35" s="1"/>
  <c r="J60" i="15"/>
  <c r="Q48" i="15" s="1"/>
  <c r="J53" i="15"/>
  <c r="L60" i="15"/>
  <c r="L57" i="15"/>
  <c r="J57" i="15"/>
  <c r="J55" i="15" s="1"/>
  <c r="J58" i="15" s="1"/>
  <c r="Q50" i="15" s="1"/>
  <c r="I54" i="15"/>
  <c r="J59" i="15"/>
  <c r="L56" i="15"/>
  <c r="F66" i="15"/>
  <c r="F65" i="15"/>
  <c r="F64" i="15"/>
  <c r="I1" i="73"/>
  <c r="B39" i="1" s="1"/>
  <c r="F51" i="15"/>
  <c r="G1" i="73"/>
  <c r="C14" i="67"/>
  <c r="C16" i="67"/>
  <c r="C17" i="67"/>
  <c r="BA13" i="3" l="1"/>
  <c r="BD5" i="3"/>
  <c r="N77" i="83"/>
  <c r="N78" i="83" s="1"/>
  <c r="I4" i="6"/>
  <c r="G13" i="3"/>
  <c r="H5" i="3"/>
  <c r="L46" i="15"/>
  <c r="C115" i="43"/>
  <c r="D113" i="43" s="1"/>
  <c r="C30" i="43"/>
  <c r="E30" i="43" s="1"/>
  <c r="C27" i="43" s="1"/>
  <c r="O73" i="83"/>
  <c r="M65" i="83"/>
  <c r="K8" i="1"/>
  <c r="E7" i="12"/>
  <c r="Q64" i="83"/>
  <c r="B40" i="1"/>
  <c r="F24" i="15" s="1"/>
  <c r="C24" i="15" s="1"/>
  <c r="B4" i="62"/>
  <c r="B71" i="72" s="1"/>
  <c r="C49" i="67"/>
  <c r="C15" i="67"/>
  <c r="C18" i="67"/>
  <c r="J18" i="67"/>
  <c r="F11" i="15"/>
  <c r="C53" i="15" s="1"/>
  <c r="M11" i="15"/>
  <c r="F11" i="67"/>
  <c r="M11" i="67"/>
  <c r="J10" i="67" s="1"/>
  <c r="J5" i="67" s="1"/>
  <c r="Q66" i="15"/>
  <c r="Q57" i="15"/>
  <c r="F1" i="15"/>
  <c r="Q52" i="15"/>
  <c r="F22" i="68"/>
  <c r="Q73" i="67"/>
  <c r="Q60" i="67"/>
  <c r="Q74" i="67"/>
  <c r="Q61" i="67"/>
  <c r="F1" i="67"/>
  <c r="Q52" i="67"/>
  <c r="Q61" i="15"/>
  <c r="Q74" i="15"/>
  <c r="C32" i="67"/>
  <c r="Q60" i="15"/>
  <c r="Q73" i="15"/>
  <c r="P28" i="43"/>
  <c r="O28" i="43"/>
  <c r="N28" i="43"/>
  <c r="M28" i="43"/>
  <c r="M29" i="15"/>
  <c r="AE8" i="1"/>
  <c r="F7" i="15"/>
  <c r="F43" i="15"/>
  <c r="E8" i="6" l="1"/>
  <c r="E11" i="6"/>
  <c r="E12" i="6"/>
  <c r="E13" i="6"/>
  <c r="E14" i="6"/>
  <c r="E15" i="6"/>
  <c r="E10" i="6"/>
  <c r="G5" i="3"/>
  <c r="B3" i="3" s="1"/>
  <c r="AZ13" i="3"/>
  <c r="AZ5" i="3" s="1"/>
  <c r="BA5" i="3"/>
  <c r="E27" i="6" s="1"/>
  <c r="F22" i="69"/>
  <c r="C25" i="69" s="1"/>
  <c r="F25" i="12"/>
  <c r="C26" i="12" s="1"/>
  <c r="D25" i="12" s="1"/>
  <c r="F24" i="67"/>
  <c r="C24" i="67" s="1"/>
  <c r="F22" i="11"/>
  <c r="C44" i="11" s="1"/>
  <c r="D41" i="11" s="1"/>
  <c r="F71" i="15"/>
  <c r="F50" i="15"/>
  <c r="C49" i="15" s="1"/>
  <c r="C48" i="15" s="1"/>
  <c r="C66" i="15" s="1"/>
  <c r="M7" i="15"/>
  <c r="J6" i="15" s="1"/>
  <c r="J18" i="15" s="1"/>
  <c r="C6" i="15"/>
  <c r="C34" i="69"/>
  <c r="M8" i="1"/>
  <c r="G16" i="1"/>
  <c r="Q16" i="1"/>
  <c r="H16" i="1"/>
  <c r="K16" i="1"/>
  <c r="C19" i="67"/>
  <c r="C20" i="67" s="1"/>
  <c r="C26" i="67" s="1"/>
  <c r="J24" i="67"/>
  <c r="J26" i="67"/>
  <c r="J29" i="67" s="1"/>
  <c r="C24" i="68"/>
  <c r="C26" i="68"/>
  <c r="D22" i="68" s="1"/>
  <c r="C44" i="68"/>
  <c r="D41" i="68" s="1"/>
  <c r="C53" i="67"/>
  <c r="C48" i="67" s="1"/>
  <c r="C10" i="67"/>
  <c r="C5" i="67" s="1"/>
  <c r="F41" i="15"/>
  <c r="C16" i="15"/>
  <c r="C23" i="11" l="1"/>
  <c r="C24" i="69"/>
  <c r="C26" i="69"/>
  <c r="D22" i="69" s="1"/>
  <c r="E3" i="6"/>
  <c r="AY6" i="3"/>
  <c r="I3" i="6"/>
  <c r="E301" i="3"/>
  <c r="E99" i="3"/>
  <c r="E221" i="3"/>
  <c r="E149" i="3"/>
  <c r="E212" i="3"/>
  <c r="E167" i="3"/>
  <c r="E141" i="3"/>
  <c r="E312" i="3"/>
  <c r="AD6" i="3"/>
  <c r="E542" i="3"/>
  <c r="E552" i="3"/>
  <c r="E263" i="3"/>
  <c r="E290" i="3"/>
  <c r="E252" i="3"/>
  <c r="E164" i="3"/>
  <c r="E576" i="3"/>
  <c r="AG6" i="3"/>
  <c r="E411" i="3"/>
  <c r="E262" i="3"/>
  <c r="E181" i="3"/>
  <c r="E223" i="3"/>
  <c r="E173" i="3"/>
  <c r="E525" i="3"/>
  <c r="T6" i="3"/>
  <c r="E456" i="3"/>
  <c r="E469" i="3"/>
  <c r="E512" i="3"/>
  <c r="E408" i="3"/>
  <c r="E451" i="3"/>
  <c r="E360" i="3"/>
  <c r="E556" i="3"/>
  <c r="E497" i="3"/>
  <c r="E577" i="3"/>
  <c r="E429" i="3"/>
  <c r="E468" i="3"/>
  <c r="E496" i="3"/>
  <c r="E454" i="3"/>
  <c r="E55" i="3"/>
  <c r="E106" i="3"/>
  <c r="E73" i="3"/>
  <c r="E146" i="3"/>
  <c r="E207" i="3"/>
  <c r="E379" i="3"/>
  <c r="E421" i="3"/>
  <c r="E228" i="3"/>
  <c r="E116" i="3"/>
  <c r="E564" i="3"/>
  <c r="E474" i="3"/>
  <c r="E438" i="3"/>
  <c r="E288" i="3"/>
  <c r="W6" i="3"/>
  <c r="E494" i="3"/>
  <c r="E470" i="3"/>
  <c r="E26" i="3"/>
  <c r="E41" i="3"/>
  <c r="E168" i="3"/>
  <c r="E150" i="3"/>
  <c r="E208" i="3"/>
  <c r="E279" i="3"/>
  <c r="E257" i="3"/>
  <c r="E351" i="3"/>
  <c r="E357" i="3"/>
  <c r="E318" i="3"/>
  <c r="E14" i="3"/>
  <c r="E31" i="3"/>
  <c r="E93" i="3"/>
  <c r="E75" i="3"/>
  <c r="E473" i="3"/>
  <c r="E455" i="3"/>
  <c r="E38" i="3"/>
  <c r="E170" i="3"/>
  <c r="E194" i="3"/>
  <c r="E219" i="3"/>
  <c r="E339" i="3"/>
  <c r="E120" i="3"/>
  <c r="E330" i="3"/>
  <c r="E437" i="3"/>
  <c r="E541" i="3"/>
  <c r="E449" i="3"/>
  <c r="E107" i="3"/>
  <c r="E136" i="3"/>
  <c r="E493" i="3"/>
  <c r="E406" i="3"/>
  <c r="E587" i="3"/>
  <c r="E483" i="3"/>
  <c r="E25" i="3"/>
  <c r="E119" i="3"/>
  <c r="E242" i="3"/>
  <c r="E276" i="3"/>
  <c r="E333" i="3"/>
  <c r="L6" i="3"/>
  <c r="E43" i="3"/>
  <c r="E412" i="3"/>
  <c r="E129" i="3"/>
  <c r="E275" i="3"/>
  <c r="E122" i="3"/>
  <c r="E560" i="3"/>
  <c r="E416" i="3"/>
  <c r="AP6" i="3"/>
  <c r="E517" i="3"/>
  <c r="E491" i="3"/>
  <c r="E479" i="3"/>
  <c r="E37" i="3"/>
  <c r="E152" i="3"/>
  <c r="E192" i="3"/>
  <c r="E241" i="3"/>
  <c r="E363" i="3"/>
  <c r="E389" i="3"/>
  <c r="E76" i="3"/>
  <c r="E462" i="3"/>
  <c r="E98" i="3"/>
  <c r="E163" i="3"/>
  <c r="E307" i="3"/>
  <c r="E392" i="3"/>
  <c r="E52" i="3"/>
  <c r="E112" i="3"/>
  <c r="E147" i="3"/>
  <c r="E340" i="3"/>
  <c r="E50" i="3"/>
  <c r="E62" i="3"/>
  <c r="E218" i="3"/>
  <c r="E365" i="3"/>
  <c r="E101" i="3"/>
  <c r="E269" i="3"/>
  <c r="E193" i="3"/>
  <c r="E573" i="3"/>
  <c r="E485" i="3"/>
  <c r="E400" i="3"/>
  <c r="E345" i="3"/>
  <c r="E557" i="3"/>
  <c r="E531" i="3"/>
  <c r="E489" i="3"/>
  <c r="E28" i="3"/>
  <c r="E70" i="3"/>
  <c r="E182" i="3"/>
  <c r="E211" i="3"/>
  <c r="E273" i="3"/>
  <c r="E377" i="3"/>
  <c r="E572" i="3"/>
  <c r="E109" i="3"/>
  <c r="E484" i="3"/>
  <c r="E46" i="3"/>
  <c r="E200" i="3"/>
  <c r="E371" i="3"/>
  <c r="E492" i="3"/>
  <c r="E84" i="3"/>
  <c r="E33" i="3"/>
  <c r="E184" i="3"/>
  <c r="E355" i="3"/>
  <c r="E68" i="3"/>
  <c r="E81" i="3"/>
  <c r="E264" i="3"/>
  <c r="E309" i="3"/>
  <c r="E21" i="3"/>
  <c r="E526" i="3"/>
  <c r="E322" i="3"/>
  <c r="E509" i="3"/>
  <c r="E431" i="3"/>
  <c r="E201" i="3"/>
  <c r="E514" i="3"/>
  <c r="M6" i="3"/>
  <c r="E387" i="3"/>
  <c r="E271" i="3"/>
  <c r="E105" i="3"/>
  <c r="E344" i="3"/>
  <c r="E40" i="3"/>
  <c r="E225" i="3"/>
  <c r="E391" i="3"/>
  <c r="E94" i="3"/>
  <c r="E78" i="3"/>
  <c r="E196" i="3"/>
  <c r="E398" i="3"/>
  <c r="E582" i="3"/>
  <c r="E436" i="3"/>
  <c r="E131" i="3"/>
  <c r="E297" i="3"/>
  <c r="E375" i="3"/>
  <c r="E540" i="3"/>
  <c r="E117" i="3"/>
  <c r="E327" i="3"/>
  <c r="AO6" i="3"/>
  <c r="E236" i="3"/>
  <c r="E197" i="3"/>
  <c r="E534" i="3"/>
  <c r="E486" i="3"/>
  <c r="E422" i="3"/>
  <c r="E490" i="3"/>
  <c r="AH6" i="3"/>
  <c r="E537" i="3"/>
  <c r="E471" i="3"/>
  <c r="E475" i="3"/>
  <c r="E54" i="3"/>
  <c r="E188" i="3"/>
  <c r="U6" i="3"/>
  <c r="E85" i="3"/>
  <c r="E427" i="3"/>
  <c r="E457" i="3"/>
  <c r="E571" i="3"/>
  <c r="E420" i="3"/>
  <c r="E115" i="3"/>
  <c r="E171" i="3"/>
  <c r="E214" i="3"/>
  <c r="E315" i="3"/>
  <c r="E362" i="3"/>
  <c r="E74" i="3"/>
  <c r="E409" i="3"/>
  <c r="E79" i="3"/>
  <c r="E137" i="3"/>
  <c r="E299" i="3"/>
  <c r="E177" i="3"/>
  <c r="E466" i="3"/>
  <c r="E255" i="3"/>
  <c r="E515" i="3"/>
  <c r="E472" i="3"/>
  <c r="E498" i="3"/>
  <c r="E178" i="3"/>
  <c r="E226" i="3"/>
  <c r="E372" i="3"/>
  <c r="E428" i="3"/>
  <c r="E174" i="3"/>
  <c r="E133" i="3"/>
  <c r="E374" i="3"/>
  <c r="E435" i="3"/>
  <c r="E56" i="3"/>
  <c r="E132" i="3"/>
  <c r="E292" i="3"/>
  <c r="E544" i="3"/>
  <c r="E446" i="3"/>
  <c r="E209" i="3"/>
  <c r="AQ6" i="3"/>
  <c r="E123" i="3"/>
  <c r="E364" i="3"/>
  <c r="E176" i="3"/>
  <c r="E524" i="3"/>
  <c r="E45" i="3"/>
  <c r="E458" i="3"/>
  <c r="E443" i="3"/>
  <c r="E581" i="3"/>
  <c r="E404" i="3"/>
  <c r="E121" i="3"/>
  <c r="E295" i="3"/>
  <c r="E334" i="3"/>
  <c r="E480" i="3"/>
  <c r="E160" i="3"/>
  <c r="E310" i="3"/>
  <c r="E67" i="3"/>
  <c r="E233" i="3"/>
  <c r="E63" i="3"/>
  <c r="E283" i="3"/>
  <c r="E217" i="3"/>
  <c r="AJ6" i="3"/>
  <c r="E247" i="3"/>
  <c r="E570" i="3"/>
  <c r="E335" i="3"/>
  <c r="E481" i="3"/>
  <c r="E198" i="3"/>
  <c r="AL6" i="3"/>
  <c r="E220" i="3"/>
  <c r="E566" i="3"/>
  <c r="E90" i="3"/>
  <c r="E348" i="3"/>
  <c r="E47" i="3"/>
  <c r="E266" i="3"/>
  <c r="E35" i="3"/>
  <c r="E206" i="3"/>
  <c r="AF6" i="3"/>
  <c r="E158" i="3"/>
  <c r="E22" i="3"/>
  <c r="E224" i="3"/>
  <c r="E478" i="3"/>
  <c r="E477" i="3"/>
  <c r="AS6" i="3"/>
  <c r="E447" i="3"/>
  <c r="E162" i="3"/>
  <c r="E210" i="3"/>
  <c r="E384" i="3"/>
  <c r="E441" i="3"/>
  <c r="E142" i="3"/>
  <c r="E354" i="3"/>
  <c r="E48" i="3"/>
  <c r="E284" i="3"/>
  <c r="E19" i="3"/>
  <c r="E323" i="3"/>
  <c r="E366" i="3"/>
  <c r="E239" i="3"/>
  <c r="E229" i="3"/>
  <c r="E551" i="3"/>
  <c r="E294" i="3"/>
  <c r="E130" i="3"/>
  <c r="E114" i="3"/>
  <c r="E395" i="3"/>
  <c r="E550" i="3"/>
  <c r="E545" i="3"/>
  <c r="E352" i="3"/>
  <c r="E128" i="3"/>
  <c r="E518" i="3"/>
  <c r="E578" i="3"/>
  <c r="E382" i="3"/>
  <c r="E319" i="3"/>
  <c r="E153" i="3"/>
  <c r="E328" i="3"/>
  <c r="E574" i="3"/>
  <c r="E285" i="3"/>
  <c r="E390" i="3"/>
  <c r="E523" i="3"/>
  <c r="E418" i="3"/>
  <c r="E321" i="3"/>
  <c r="E169" i="3"/>
  <c r="E237" i="3"/>
  <c r="E565" i="3"/>
  <c r="E17" i="3"/>
  <c r="E583" i="3"/>
  <c r="E336" i="3"/>
  <c r="E293" i="3"/>
  <c r="E511" i="3"/>
  <c r="AK6" i="3"/>
  <c r="E306" i="3"/>
  <c r="E585" i="3"/>
  <c r="E543" i="3"/>
  <c r="AE6" i="3"/>
  <c r="E108" i="3"/>
  <c r="E281" i="3"/>
  <c r="E356" i="3"/>
  <c r="E488" i="3"/>
  <c r="E190" i="3"/>
  <c r="E277" i="3"/>
  <c r="E459" i="3"/>
  <c r="E413" i="3"/>
  <c r="E39" i="3"/>
  <c r="E187" i="3"/>
  <c r="E259" i="3"/>
  <c r="E504" i="3"/>
  <c r="E521" i="3"/>
  <c r="E248" i="3"/>
  <c r="E522" i="3"/>
  <c r="E49" i="3"/>
  <c r="E370" i="3"/>
  <c r="E113" i="3"/>
  <c r="E326" i="3"/>
  <c r="E89" i="3"/>
  <c r="E529" i="3"/>
  <c r="E432" i="3"/>
  <c r="E547" i="3"/>
  <c r="E546" i="3"/>
  <c r="E92" i="3"/>
  <c r="E272" i="3"/>
  <c r="E317" i="3"/>
  <c r="E29" i="3"/>
  <c r="E103" i="3"/>
  <c r="E386" i="3"/>
  <c r="E24" i="3"/>
  <c r="E250" i="3"/>
  <c r="E51" i="3"/>
  <c r="E222" i="3"/>
  <c r="E125" i="3"/>
  <c r="N6" i="3"/>
  <c r="E396" i="3"/>
  <c r="E559" i="3"/>
  <c r="E320" i="3"/>
  <c r="E189" i="3"/>
  <c r="E69" i="3"/>
  <c r="E563" i="3"/>
  <c r="E445" i="3"/>
  <c r="E539" i="3"/>
  <c r="E461" i="3"/>
  <c r="E165" i="3"/>
  <c r="E495" i="3"/>
  <c r="E586" i="3"/>
  <c r="E350" i="3"/>
  <c r="E175" i="3"/>
  <c r="E343" i="3"/>
  <c r="E508" i="3"/>
  <c r="E555" i="3"/>
  <c r="E337" i="3"/>
  <c r="E270" i="3"/>
  <c r="AR6" i="3"/>
  <c r="E538" i="3"/>
  <c r="E380" i="3"/>
  <c r="E216" i="3"/>
  <c r="E135" i="3"/>
  <c r="E528" i="3"/>
  <c r="E361" i="3"/>
  <c r="E347" i="3"/>
  <c r="E399" i="3"/>
  <c r="E124" i="3"/>
  <c r="E568" i="3"/>
  <c r="E536" i="3"/>
  <c r="E453" i="3"/>
  <c r="R6" i="3"/>
  <c r="E575" i="3"/>
  <c r="E199" i="3"/>
  <c r="E77" i="3"/>
  <c r="E91" i="3"/>
  <c r="E204" i="3"/>
  <c r="E448" i="3"/>
  <c r="E369" i="3"/>
  <c r="E507" i="3"/>
  <c r="E376" i="3"/>
  <c r="E450" i="3"/>
  <c r="E72" i="3"/>
  <c r="E145" i="3"/>
  <c r="E393" i="3"/>
  <c r="E562" i="3"/>
  <c r="E104" i="3"/>
  <c r="E256" i="3"/>
  <c r="E394" i="3"/>
  <c r="E32" i="3"/>
  <c r="E100" i="3"/>
  <c r="E148" i="3"/>
  <c r="E430" i="3"/>
  <c r="E238" i="3"/>
  <c r="E463" i="3"/>
  <c r="E346" i="3"/>
  <c r="E96" i="3"/>
  <c r="E487" i="3"/>
  <c r="E417" i="3"/>
  <c r="E258" i="3"/>
  <c r="E59" i="3"/>
  <c r="E325" i="3"/>
  <c r="E289" i="3"/>
  <c r="E265" i="3"/>
  <c r="E519" i="3"/>
  <c r="E558" i="3"/>
  <c r="E88" i="3"/>
  <c r="E316" i="3"/>
  <c r="E467" i="3"/>
  <c r="E23" i="3"/>
  <c r="E381" i="3"/>
  <c r="E513" i="3"/>
  <c r="E579" i="3"/>
  <c r="AB6" i="3"/>
  <c r="E419" i="3"/>
  <c r="E482" i="3"/>
  <c r="E460" i="3"/>
  <c r="E58" i="3"/>
  <c r="E342" i="3"/>
  <c r="E251" i="3"/>
  <c r="E308" i="3"/>
  <c r="E532" i="3"/>
  <c r="E505" i="3"/>
  <c r="E27" i="3"/>
  <c r="E331" i="3"/>
  <c r="E64" i="3"/>
  <c r="E66" i="3"/>
  <c r="Y6" i="3"/>
  <c r="E82" i="3"/>
  <c r="E569" i="3"/>
  <c r="E407" i="3"/>
  <c r="E254" i="3"/>
  <c r="E260" i="3"/>
  <c r="E510" i="3"/>
  <c r="E385" i="3"/>
  <c r="E423" i="3"/>
  <c r="E501" i="3"/>
  <c r="O6" i="3"/>
  <c r="E97" i="3"/>
  <c r="E506" i="3"/>
  <c r="E298" i="3"/>
  <c r="E304" i="3"/>
  <c r="E302" i="3"/>
  <c r="E246" i="3"/>
  <c r="E16" i="3"/>
  <c r="E245" i="3"/>
  <c r="E424" i="3"/>
  <c r="E139" i="3"/>
  <c r="E42" i="3"/>
  <c r="E235" i="3"/>
  <c r="E500" i="3"/>
  <c r="E57" i="3"/>
  <c r="E378" i="3"/>
  <c r="E65" i="3"/>
  <c r="E86" i="3"/>
  <c r="E102" i="3"/>
  <c r="E83" i="3"/>
  <c r="E548" i="3"/>
  <c r="E403" i="3"/>
  <c r="E126" i="3"/>
  <c r="AM6" i="3"/>
  <c r="E267" i="3"/>
  <c r="E87" i="3"/>
  <c r="E154" i="3"/>
  <c r="E553" i="3"/>
  <c r="E151" i="3"/>
  <c r="E215" i="3"/>
  <c r="E278" i="3"/>
  <c r="E535" i="3"/>
  <c r="E227" i="3"/>
  <c r="AN6" i="3"/>
  <c r="E303" i="3"/>
  <c r="E305" i="3"/>
  <c r="E410" i="3"/>
  <c r="E533" i="3"/>
  <c r="E439" i="3"/>
  <c r="E185" i="3"/>
  <c r="E183" i="3"/>
  <c r="AA6" i="3"/>
  <c r="E397" i="3"/>
  <c r="E549" i="3"/>
  <c r="E499" i="3"/>
  <c r="E253" i="3"/>
  <c r="E159" i="3"/>
  <c r="Z6" i="3"/>
  <c r="E405" i="3"/>
  <c r="J6" i="3"/>
  <c r="E111" i="3"/>
  <c r="E527" i="3"/>
  <c r="E203" i="3"/>
  <c r="E580" i="3"/>
  <c r="E234" i="3"/>
  <c r="E161" i="3"/>
  <c r="E202" i="3"/>
  <c r="E324" i="3"/>
  <c r="E95" i="3"/>
  <c r="E138" i="3"/>
  <c r="E20" i="3"/>
  <c r="P6" i="3"/>
  <c r="E166" i="3"/>
  <c r="E249" i="3"/>
  <c r="E118" i="3"/>
  <c r="E311" i="3"/>
  <c r="E243" i="3"/>
  <c r="E155" i="3"/>
  <c r="E34" i="3"/>
  <c r="E156" i="3"/>
  <c r="E476" i="3"/>
  <c r="E44" i="3"/>
  <c r="E127" i="3"/>
  <c r="E282" i="3"/>
  <c r="E230" i="3"/>
  <c r="E329" i="3"/>
  <c r="AI6" i="3"/>
  <c r="E426" i="3"/>
  <c r="S6" i="3"/>
  <c r="E61" i="3"/>
  <c r="X6" i="3"/>
  <c r="E434" i="3"/>
  <c r="E401" i="3"/>
  <c r="E18" i="3"/>
  <c r="E520" i="3"/>
  <c r="E110" i="3"/>
  <c r="E232" i="3"/>
  <c r="E313" i="3"/>
  <c r="E71" i="3"/>
  <c r="E425" i="3"/>
  <c r="E341" i="3"/>
  <c r="E516" i="3"/>
  <c r="E134" i="3"/>
  <c r="E567" i="3"/>
  <c r="E402" i="3"/>
  <c r="E388" i="3"/>
  <c r="E561" i="3"/>
  <c r="E261" i="3"/>
  <c r="E280" i="3"/>
  <c r="E368" i="3"/>
  <c r="E502" i="3"/>
  <c r="E180" i="3"/>
  <c r="E191" i="3"/>
  <c r="E140" i="3"/>
  <c r="E440" i="3"/>
  <c r="E433" i="3"/>
  <c r="E296" i="3"/>
  <c r="E452" i="3"/>
  <c r="E274" i="3"/>
  <c r="E15" i="3"/>
  <c r="Q6" i="3"/>
  <c r="E465" i="3"/>
  <c r="E60" i="3"/>
  <c r="E554" i="3"/>
  <c r="E349" i="3"/>
  <c r="E36" i="3"/>
  <c r="E244" i="3"/>
  <c r="E444" i="3"/>
  <c r="E30" i="3"/>
  <c r="E144" i="3"/>
  <c r="E268" i="3"/>
  <c r="E442" i="3"/>
  <c r="K6" i="3"/>
  <c r="E195" i="3"/>
  <c r="E80" i="3"/>
  <c r="E414" i="3"/>
  <c r="E186" i="3"/>
  <c r="E300" i="3"/>
  <c r="E179" i="3"/>
  <c r="E358" i="3"/>
  <c r="E415" i="3"/>
  <c r="E205" i="3"/>
  <c r="E53" i="3"/>
  <c r="E359" i="3"/>
  <c r="E338" i="3"/>
  <c r="E213" i="3"/>
  <c r="E314" i="3"/>
  <c r="E157" i="3"/>
  <c r="E332" i="3"/>
  <c r="E464" i="3"/>
  <c r="E240" i="3"/>
  <c r="E383" i="3"/>
  <c r="E287" i="3"/>
  <c r="E367" i="3"/>
  <c r="E291" i="3"/>
  <c r="E584" i="3"/>
  <c r="E373" i="3"/>
  <c r="V6" i="3"/>
  <c r="E172" i="3"/>
  <c r="E353" i="3"/>
  <c r="E530" i="3"/>
  <c r="E143" i="3"/>
  <c r="E231" i="3"/>
  <c r="E503" i="3"/>
  <c r="I6" i="3"/>
  <c r="E286" i="3"/>
  <c r="E65" i="39"/>
  <c r="E60" i="40"/>
  <c r="F60" i="40" s="1"/>
  <c r="E63" i="39"/>
  <c r="E58" i="40"/>
  <c r="F58" i="40" s="1"/>
  <c r="E61" i="39"/>
  <c r="E56" i="40"/>
  <c r="F56" i="40" s="1"/>
  <c r="C44" i="69"/>
  <c r="D41" i="69" s="1"/>
  <c r="C23" i="69"/>
  <c r="K25" i="6"/>
  <c r="M25" i="6" s="1"/>
  <c r="I25" i="6" s="1"/>
  <c r="S25" i="6" s="1"/>
  <c r="K23" i="6"/>
  <c r="M23" i="6" s="1"/>
  <c r="I23" i="6" s="1"/>
  <c r="S23" i="6" s="1"/>
  <c r="K19" i="6"/>
  <c r="E31" i="6"/>
  <c r="K21" i="6"/>
  <c r="K26" i="6"/>
  <c r="M26" i="6" s="1"/>
  <c r="I26" i="6" s="1"/>
  <c r="S26" i="6" s="1"/>
  <c r="K24" i="6"/>
  <c r="M24" i="6" s="1"/>
  <c r="I24" i="6" s="1"/>
  <c r="S24" i="6" s="1"/>
  <c r="K20" i="6"/>
  <c r="K22" i="6"/>
  <c r="M22" i="6" s="1"/>
  <c r="I22" i="6" s="1"/>
  <c r="S22" i="6" s="1"/>
  <c r="E13" i="3"/>
  <c r="E16" i="6"/>
  <c r="E64" i="39"/>
  <c r="E59" i="40"/>
  <c r="F59" i="40" s="1"/>
  <c r="E62" i="39"/>
  <c r="E57" i="40"/>
  <c r="F57" i="40" s="1"/>
  <c r="E56" i="39"/>
  <c r="E66" i="39" s="1"/>
  <c r="E51" i="40"/>
  <c r="F51" i="40" s="1"/>
  <c r="F27" i="6"/>
  <c r="C26" i="11"/>
  <c r="D22" i="11" s="1"/>
  <c r="J10" i="15"/>
  <c r="J5" i="15" s="1"/>
  <c r="F27" i="69"/>
  <c r="F27" i="68"/>
  <c r="F28" i="12"/>
  <c r="C29" i="12" s="1"/>
  <c r="D28" i="12" s="1"/>
  <c r="F27" i="11"/>
  <c r="O8" i="1"/>
  <c r="O16" i="1" s="1"/>
  <c r="M16" i="1"/>
  <c r="C10" i="15"/>
  <c r="C5" i="15" s="1"/>
  <c r="C38" i="15" s="1"/>
  <c r="C33" i="15"/>
  <c r="C32" i="15"/>
  <c r="F10" i="39"/>
  <c r="J10" i="40"/>
  <c r="H10" i="40"/>
  <c r="H10" i="39"/>
  <c r="J10" i="39"/>
  <c r="F10" i="40"/>
  <c r="C38" i="69"/>
  <c r="C35" i="69"/>
  <c r="F69" i="15"/>
  <c r="C60" i="15"/>
  <c r="C23" i="67"/>
  <c r="C29" i="67" s="1"/>
  <c r="C60" i="67"/>
  <c r="C66" i="67"/>
  <c r="C38" i="67"/>
  <c r="C22" i="69" l="1"/>
  <c r="D29" i="43"/>
  <c r="F31" i="6"/>
  <c r="M20" i="6"/>
  <c r="I20" i="6" s="1"/>
  <c r="S20" i="6" s="1"/>
  <c r="S7" i="1"/>
  <c r="M18" i="9"/>
  <c r="B118" i="9" s="1"/>
  <c r="B14" i="74" s="1"/>
  <c r="B1" i="74" s="1"/>
  <c r="C7" i="74" s="1"/>
  <c r="D3" i="34"/>
  <c r="B2" i="34" s="1"/>
  <c r="B3" i="34" s="1"/>
  <c r="D19" i="11"/>
  <c r="C19" i="11" s="1"/>
  <c r="D3" i="37"/>
  <c r="B2" i="37" s="1"/>
  <c r="B3" i="37" s="1"/>
  <c r="D3" i="33"/>
  <c r="B2" i="33" s="1"/>
  <c r="B3" i="33" s="1"/>
  <c r="C17" i="4"/>
  <c r="B4" i="52" s="1"/>
  <c r="B43" i="72" s="1"/>
  <c r="L18" i="9"/>
  <c r="D37" i="11"/>
  <c r="E6" i="6"/>
  <c r="D14" i="12"/>
  <c r="D17" i="12" s="1"/>
  <c r="C17" i="12" s="1"/>
  <c r="S8" i="1"/>
  <c r="M21" i="6"/>
  <c r="I21" i="6" s="1"/>
  <c r="S21" i="6" s="1"/>
  <c r="S6" i="1"/>
  <c r="M19" i="6"/>
  <c r="K27" i="6"/>
  <c r="I23" i="86"/>
  <c r="H6" i="3"/>
  <c r="AC6" i="3"/>
  <c r="D3" i="6"/>
  <c r="AY66" i="3"/>
  <c r="AY176" i="3"/>
  <c r="AY115" i="3"/>
  <c r="AY188" i="3"/>
  <c r="AY276" i="3"/>
  <c r="AY297" i="3"/>
  <c r="AY225" i="3"/>
  <c r="AY335" i="3"/>
  <c r="AY470" i="3"/>
  <c r="AY409" i="3"/>
  <c r="AY180" i="3"/>
  <c r="AY228" i="3"/>
  <c r="AY358" i="3"/>
  <c r="AY465" i="3"/>
  <c r="AY433" i="3"/>
  <c r="AY196" i="3"/>
  <c r="AY74" i="3"/>
  <c r="AY204" i="3"/>
  <c r="AY363" i="3"/>
  <c r="AY412" i="3"/>
  <c r="AY229" i="3"/>
  <c r="AY326"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18" i="3"/>
  <c r="AY90" i="3"/>
  <c r="AY75" i="3"/>
  <c r="AY387" i="3"/>
  <c r="AY444" i="3"/>
  <c r="AY269" i="3"/>
  <c r="AY51" i="3"/>
  <c r="AY124" i="3"/>
  <c r="AY281" i="3"/>
  <c r="AY236" i="3"/>
  <c r="AY473" i="3"/>
  <c r="AY26" i="3"/>
  <c r="AY372" i="3"/>
  <c r="AY420" i="3"/>
  <c r="AY289" i="3"/>
  <c r="AY209" i="3"/>
  <c r="AY116" i="3"/>
  <c r="AY417" i="3"/>
  <c r="AY539" i="3"/>
  <c r="AY84" i="3"/>
  <c r="AY193" i="3"/>
  <c r="AY134" i="3"/>
  <c r="AY270" i="3"/>
  <c r="AY373" i="3"/>
  <c r="AY88" i="3"/>
  <c r="AY161" i="3"/>
  <c r="AY215" i="3"/>
  <c r="AY324" i="3"/>
  <c r="AY438" i="3"/>
  <c r="AY580" i="3"/>
  <c r="AY552" i="3"/>
  <c r="AY523" i="3"/>
  <c r="AY174" i="3"/>
  <c r="AY250" i="3"/>
  <c r="AY305" i="3"/>
  <c r="AY132" i="3"/>
  <c r="AY220" i="3"/>
  <c r="AY199" i="3"/>
  <c r="AY481" i="3"/>
  <c r="AY513" i="3"/>
  <c r="AY569" i="3"/>
  <c r="AY553" i="3"/>
  <c r="AY77" i="3"/>
  <c r="AY60" i="3"/>
  <c r="AY206" i="3"/>
  <c r="AY170" i="3"/>
  <c r="AY149" i="3"/>
  <c r="AY299" i="3"/>
  <c r="AY263" i="3"/>
  <c r="AY246" i="3"/>
  <c r="AY392" i="3"/>
  <c r="AY357" i="3"/>
  <c r="BJ6" i="3"/>
  <c r="AY41" i="3"/>
  <c r="AY197" i="3"/>
  <c r="AY83" i="3"/>
  <c r="AY155" i="3"/>
  <c r="AY131" i="3"/>
  <c r="AY268" i="3"/>
  <c r="AY318" i="3"/>
  <c r="AY106" i="3"/>
  <c r="AY395" i="3"/>
  <c r="AY452" i="3"/>
  <c r="AY139" i="3"/>
  <c r="AY252" i="3"/>
  <c r="AY43" i="3"/>
  <c r="AY436" i="3"/>
  <c r="BO6" i="3"/>
  <c r="AY53" i="3"/>
  <c r="AY182" i="3"/>
  <c r="AY126" i="3"/>
  <c r="AY239" i="3"/>
  <c r="AY389" i="3"/>
  <c r="AY93" i="3"/>
  <c r="AY150" i="3"/>
  <c r="AY226" i="3"/>
  <c r="AY340" i="3"/>
  <c r="AY454" i="3"/>
  <c r="AY525" i="3"/>
  <c r="AY518" i="3"/>
  <c r="AY577" i="3"/>
  <c r="AY205" i="3"/>
  <c r="AY235" i="3"/>
  <c r="AY321" i="3"/>
  <c r="AY171" i="3"/>
  <c r="AY237" i="3"/>
  <c r="AY526" i="3"/>
  <c r="AY207" i="3"/>
  <c r="AY168" i="3"/>
  <c r="AY441" i="3"/>
  <c r="AY310" i="3"/>
  <c r="AY261" i="3"/>
  <c r="AY343" i="3"/>
  <c r="AY100" i="3"/>
  <c r="AY173" i="3"/>
  <c r="AY227" i="3"/>
  <c r="AY29" i="3"/>
  <c r="AY341" i="3"/>
  <c r="AY419" i="3"/>
  <c r="AY532" i="3"/>
  <c r="AY113" i="3"/>
  <c r="AY82" i="3"/>
  <c r="AY486" i="3"/>
  <c r="AY404" i="3"/>
  <c r="AY541" i="3"/>
  <c r="AY45" i="3"/>
  <c r="AY201" i="3"/>
  <c r="AY118" i="3"/>
  <c r="AY231" i="3"/>
  <c r="AY381" i="3"/>
  <c r="AY104" i="3"/>
  <c r="AY177" i="3"/>
  <c r="AY290" i="3"/>
  <c r="AY210" i="3"/>
  <c r="AY349" i="3"/>
  <c r="AY332" i="3"/>
  <c r="AY488" i="3"/>
  <c r="AY446" i="3"/>
  <c r="AY427" i="3"/>
  <c r="BM6" i="3"/>
  <c r="BF6" i="3"/>
  <c r="BG6" i="3"/>
  <c r="AY101" i="3"/>
  <c r="AY158" i="3"/>
  <c r="AY234" i="3"/>
  <c r="AY344"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Y510" i="3"/>
  <c r="AY519" i="3"/>
  <c r="AY189" i="3"/>
  <c r="AY266" i="3"/>
  <c r="AY313"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498" i="3"/>
  <c r="AY144" i="3"/>
  <c r="AY253" i="3"/>
  <c r="AY529" i="3"/>
  <c r="AY463" i="3"/>
  <c r="AY284" i="3"/>
  <c r="AY478" i="3"/>
  <c r="AY69" i="3"/>
  <c r="AY141" i="3"/>
  <c r="AY384" i="3"/>
  <c r="AY181" i="3"/>
  <c r="AY309" i="3"/>
  <c r="AY503" i="3"/>
  <c r="AY496" i="3"/>
  <c r="AY267" i="3"/>
  <c r="AY191" i="3"/>
  <c r="AY425" i="3"/>
  <c r="AY401" i="3"/>
  <c r="BE6" i="3"/>
  <c r="AY76" i="3"/>
  <c r="AY185" i="3"/>
  <c r="AY125" i="3"/>
  <c r="AY262" i="3"/>
  <c r="AY374" i="3"/>
  <c r="AY73" i="3"/>
  <c r="AY145" i="3"/>
  <c r="AY388" i="3"/>
  <c r="AY316" i="3"/>
  <c r="AY430" i="3"/>
  <c r="AY585" i="3"/>
  <c r="AY501" i="3"/>
  <c r="AY137" i="3"/>
  <c r="AY312" i="3"/>
  <c r="AY426" i="3"/>
  <c r="AY14" i="3"/>
  <c r="AY548" i="3"/>
  <c r="AY30" i="3"/>
  <c r="AY296" i="3"/>
  <c r="AY347" i="3"/>
  <c r="AY421" i="3"/>
  <c r="AY102" i="3"/>
  <c r="AY175" i="3"/>
  <c r="AY208" i="3"/>
  <c r="AY474" i="3"/>
  <c r="AY583" i="3"/>
  <c r="AY96" i="3"/>
  <c r="AY223" i="3"/>
  <c r="AY476" i="3"/>
  <c r="AY415" i="3"/>
  <c r="AY565" i="3"/>
  <c r="AY99" i="3"/>
  <c r="AY156" i="3"/>
  <c r="AY232" i="3"/>
  <c r="AY469" i="3"/>
  <c r="AY560" i="3"/>
  <c r="AY38" i="3"/>
  <c r="AY277" i="3"/>
  <c r="AY354" i="3"/>
  <c r="AY429" i="3"/>
  <c r="AY34" i="3"/>
  <c r="AY111" i="3"/>
  <c r="AY460" i="3"/>
  <c r="AY327" i="3"/>
  <c r="AY183" i="3"/>
  <c r="AY212" i="3"/>
  <c r="AY105" i="3"/>
  <c r="AY162" i="3"/>
  <c r="AY238" i="3"/>
  <c r="AY72" i="3"/>
  <c r="AY370" i="3"/>
  <c r="AY406" i="3"/>
  <c r="AY543" i="3"/>
  <c r="AY153" i="3"/>
  <c r="AY320" i="3"/>
  <c r="AY350" i="3"/>
  <c r="AY447" i="3"/>
  <c r="AY533" i="3"/>
  <c r="AY61" i="3"/>
  <c r="AY190" i="3"/>
  <c r="AY133" i="3"/>
  <c r="AY247" i="3"/>
  <c r="AY397" i="3"/>
  <c r="AY109" i="3"/>
  <c r="AY166" i="3"/>
  <c r="AY242" i="3"/>
  <c r="AY348" i="3"/>
  <c r="AY462" i="3"/>
  <c r="BQ6" i="3"/>
  <c r="AY495" i="3"/>
  <c r="AY194" i="3"/>
  <c r="AY329" i="3"/>
  <c r="AY458" i="3"/>
  <c r="AY506" i="3"/>
  <c r="AY530" i="3"/>
  <c r="AY47" i="3"/>
  <c r="AY120" i="3"/>
  <c r="AY383" i="3"/>
  <c r="AY440" i="3"/>
  <c r="AY576" i="3"/>
  <c r="AY195" i="3"/>
  <c r="AY272" i="3"/>
  <c r="AY322" i="3"/>
  <c r="AY15" i="3"/>
  <c r="AY514" i="3"/>
  <c r="AY23" i="3"/>
  <c r="AY58" i="3"/>
  <c r="AY428" i="3"/>
  <c r="AY342" i="3"/>
  <c r="AY123" i="3"/>
  <c r="AY379" i="3"/>
  <c r="AY89" i="3"/>
  <c r="AY146" i="3"/>
  <c r="AY222" i="3"/>
  <c r="AY40" i="3"/>
  <c r="AY356" i="3"/>
  <c r="AY435" i="3"/>
  <c r="AY508" i="3"/>
  <c r="AY122" i="3"/>
  <c r="AY98" i="3"/>
  <c r="AY334" i="3"/>
  <c r="AY42" i="3"/>
  <c r="AY260" i="3"/>
  <c r="AY455" i="3"/>
  <c r="AY20" i="3"/>
  <c r="AY507" i="3"/>
  <c r="AY480" i="3"/>
  <c r="AY64" i="3"/>
  <c r="AY292" i="3"/>
  <c r="BK6" i="3"/>
  <c r="AY28" i="3"/>
  <c r="AY294" i="3"/>
  <c r="AY554" i="3"/>
  <c r="AY114" i="3"/>
  <c r="AY377" i="3"/>
  <c r="AY491" i="3"/>
  <c r="AY414" i="3"/>
  <c r="AY561" i="3"/>
  <c r="AY494" i="3"/>
  <c r="AY287" i="3"/>
  <c r="AY487" i="3"/>
  <c r="AY410" i="3"/>
  <c r="AY522" i="3"/>
  <c r="BP6" i="3"/>
  <c r="AY19" i="3"/>
  <c r="AY265" i="3"/>
  <c r="AY315" i="3"/>
  <c r="AY500" i="3"/>
  <c r="AY71" i="3"/>
  <c r="AY143" i="3"/>
  <c r="AY386" i="3"/>
  <c r="AY443" i="3"/>
  <c r="BT6" i="3"/>
  <c r="AY80" i="3"/>
  <c r="AY369" i="3"/>
  <c r="AY461" i="3"/>
  <c r="AY399" i="3"/>
  <c r="AY509" i="3"/>
  <c r="AY94" i="3"/>
  <c r="AY167" i="3"/>
  <c r="AY221" i="3"/>
  <c r="AY466" i="3"/>
  <c r="AY512" i="3"/>
  <c r="AY27" i="3"/>
  <c r="AY273" i="3"/>
  <c r="AY323" i="3"/>
  <c r="AY550" i="3"/>
  <c r="AY87" i="3"/>
  <c r="AY303" i="3"/>
  <c r="AY160" i="3"/>
  <c r="AY540" i="3"/>
  <c r="AY255" i="3"/>
  <c r="AY258" i="3"/>
  <c r="AY520" i="3"/>
  <c r="AY337" i="3"/>
  <c r="AY311" i="3"/>
  <c r="AY92" i="3"/>
  <c r="AY165" i="3"/>
  <c r="AY219" i="3"/>
  <c r="AY202" i="3"/>
  <c r="AY333" i="3"/>
  <c r="AY411" i="3"/>
  <c r="AY65" i="3"/>
  <c r="AY468" i="3"/>
  <c r="AY537" i="3"/>
  <c r="AY140" i="3"/>
  <c r="AY482" i="3"/>
  <c r="AY22" i="3"/>
  <c r="AY339" i="3"/>
  <c r="AY16" i="3"/>
  <c r="AY328" i="3"/>
  <c r="AY538" i="3"/>
  <c r="AY46" i="3"/>
  <c r="AY362" i="3"/>
  <c r="AY91" i="3"/>
  <c r="AY224" i="3"/>
  <c r="AY511" i="3"/>
  <c r="AY382" i="3"/>
  <c r="AY103" i="3"/>
  <c r="AY557" i="3"/>
  <c r="AY291" i="3"/>
  <c r="AY121" i="3"/>
  <c r="AY572" i="3"/>
  <c r="AY396" i="3"/>
  <c r="AY244" i="3"/>
  <c r="AY97" i="3"/>
  <c r="AY154" i="3"/>
  <c r="AY230" i="3"/>
  <c r="AY56" i="3"/>
  <c r="AY353" i="3"/>
  <c r="AY398" i="3"/>
  <c r="AY582" i="3"/>
  <c r="AY471" i="3"/>
  <c r="AY575" i="3"/>
  <c r="AY203" i="3"/>
  <c r="AY330" i="3"/>
  <c r="AY39" i="3"/>
  <c r="AY375" i="3"/>
  <c r="AY567" i="3"/>
  <c r="AY282" i="3"/>
  <c r="AY479" i="3"/>
  <c r="AY402" i="3"/>
  <c r="AY524" i="3"/>
  <c r="AY578" i="3"/>
  <c r="AY192" i="3"/>
  <c r="AY249" i="3"/>
  <c r="AY346" i="3"/>
  <c r="AY558" i="3"/>
  <c r="AY55" i="3"/>
  <c r="AY128" i="3"/>
  <c r="AY391" i="3"/>
  <c r="AY448" i="3"/>
  <c r="AY586" i="3"/>
  <c r="AY59" i="3"/>
  <c r="AY371" i="3"/>
  <c r="AY245" i="3"/>
  <c r="AY67" i="3"/>
  <c r="AY489" i="3"/>
  <c r="AY562" i="3"/>
  <c r="AY36" i="3"/>
  <c r="AY302" i="3"/>
  <c r="BS6" i="3"/>
  <c r="AY279" i="3"/>
  <c r="AY467" i="3"/>
  <c r="BN6" i="3"/>
  <c r="AY49" i="3"/>
  <c r="AY385" i="3"/>
  <c r="AY163" i="3"/>
  <c r="AY390" i="3"/>
  <c r="AY366" i="3"/>
  <c r="AY50" i="3"/>
  <c r="AY573" i="3"/>
  <c r="AY286" i="3"/>
  <c r="AY275" i="3"/>
  <c r="AY536" i="3"/>
  <c r="AY361" i="3"/>
  <c r="AY355" i="3"/>
  <c r="AY108" i="3"/>
  <c r="AY138" i="3"/>
  <c r="AY214" i="3"/>
  <c r="AY24" i="3"/>
  <c r="AY274" i="3"/>
  <c r="AY317" i="3"/>
  <c r="AY457" i="3"/>
  <c r="AY581" i="3"/>
  <c r="AY546" i="3"/>
  <c r="AY48" i="3"/>
  <c r="AY364" i="3"/>
  <c r="AY453" i="3"/>
  <c r="AY579" i="3"/>
  <c r="AY551" i="3"/>
  <c r="AY79" i="3"/>
  <c r="AY151" i="3"/>
  <c r="AY394" i="3"/>
  <c r="AY451" i="3"/>
  <c r="AY568" i="3"/>
  <c r="AY200" i="3"/>
  <c r="AY257" i="3"/>
  <c r="AY307" i="3"/>
  <c r="AY521" i="3"/>
  <c r="AY584" i="3"/>
  <c r="AY129" i="3"/>
  <c r="AY304" i="3"/>
  <c r="AY418" i="3"/>
  <c r="AY564" i="3"/>
  <c r="AY531" i="3"/>
  <c r="AY35" i="3"/>
  <c r="AY280" i="3"/>
  <c r="AY331" i="3"/>
  <c r="AY405" i="3"/>
  <c r="AY86" i="3"/>
  <c r="AY159" i="3"/>
  <c r="AY213" i="3"/>
  <c r="AY459" i="3"/>
  <c r="AY504" i="3"/>
  <c r="AY152" i="3"/>
  <c r="AY217" i="3"/>
  <c r="AY497" i="3"/>
  <c r="AY198" i="3"/>
  <c r="BB6" i="3"/>
  <c r="AY449" i="3"/>
  <c r="AY21" i="3"/>
  <c r="AY147" i="3"/>
  <c r="AY544" i="3"/>
  <c r="AY33" i="3"/>
  <c r="AY278" i="3"/>
  <c r="BH6" i="3"/>
  <c r="AY259" i="3"/>
  <c r="AY472" i="3"/>
  <c r="AY571" i="3"/>
  <c r="AY380" i="3"/>
  <c r="AY407" i="3"/>
  <c r="AY110" i="3"/>
  <c r="AY216" i="3"/>
  <c r="AY528" i="3"/>
  <c r="AY288" i="3"/>
  <c r="AY413" i="3"/>
  <c r="AY169" i="3"/>
  <c r="AY434" i="3"/>
  <c r="AY570" i="3"/>
  <c r="AY285" i="3"/>
  <c r="AY437" i="3"/>
  <c r="AY148" i="3"/>
  <c r="AY490" i="3"/>
  <c r="AY95" i="3"/>
  <c r="AY300" i="3"/>
  <c r="AY319" i="3"/>
  <c r="AY52" i="3"/>
  <c r="AY368" i="3"/>
  <c r="AY483" i="3"/>
  <c r="AY81" i="3"/>
  <c r="AY31" i="3"/>
  <c r="AY549" i="3"/>
  <c r="AY44" i="3"/>
  <c r="AY283" i="3"/>
  <c r="AY360" i="3"/>
  <c r="AY295" i="3"/>
  <c r="AY475" i="3"/>
  <c r="AY534" i="3"/>
  <c r="AY251" i="3"/>
  <c r="AY439" i="3"/>
  <c r="AY563" i="3"/>
  <c r="AY233" i="3"/>
  <c r="AY13" i="3"/>
  <c r="AY136" i="3"/>
  <c r="AY432" i="3"/>
  <c r="AY37" i="3"/>
  <c r="AY345" i="3"/>
  <c r="AY445" i="3"/>
  <c r="AY505" i="3"/>
  <c r="AY542" i="3"/>
  <c r="AY63" i="3"/>
  <c r="AY135" i="3"/>
  <c r="AY378" i="3"/>
  <c r="AY456" i="3"/>
  <c r="BL6" i="3"/>
  <c r="AY184" i="3"/>
  <c r="AY241" i="3"/>
  <c r="AY338" i="3"/>
  <c r="BD6" i="3"/>
  <c r="J26" i="15"/>
  <c r="J29" i="15" s="1"/>
  <c r="J24" i="15"/>
  <c r="AC10" i="39"/>
  <c r="V47" i="39" s="1"/>
  <c r="I47" i="39" s="1"/>
  <c r="W10" i="39"/>
  <c r="AB10" i="40"/>
  <c r="U10" i="40"/>
  <c r="S10" i="39"/>
  <c r="AA10" i="39"/>
  <c r="R47" i="39" s="1"/>
  <c r="N16" i="1"/>
  <c r="L16" i="1"/>
  <c r="C29" i="69"/>
  <c r="D27" i="69" s="1"/>
  <c r="C47" i="69"/>
  <c r="D45" i="69" s="1"/>
  <c r="C28" i="69"/>
  <c r="C27" i="69" s="1"/>
  <c r="C31" i="69" s="1"/>
  <c r="S10" i="40"/>
  <c r="AA10" i="40"/>
  <c r="AB10" i="39"/>
  <c r="T47" i="39" s="1"/>
  <c r="G47" i="39" s="1"/>
  <c r="U10" i="39"/>
  <c r="W10" i="40"/>
  <c r="AC10" i="40"/>
  <c r="P8" i="1"/>
  <c r="P16" i="1" s="1"/>
  <c r="C11" i="12" s="1"/>
  <c r="C47" i="11"/>
  <c r="D45" i="11" s="1"/>
  <c r="C29" i="11"/>
  <c r="D27" i="11" s="1"/>
  <c r="C29" i="68"/>
  <c r="D27" i="68" s="1"/>
  <c r="C47" i="68"/>
  <c r="D45" i="68" s="1"/>
  <c r="J19" i="67"/>
  <c r="J17" i="67" s="1"/>
  <c r="C33" i="67"/>
  <c r="C31" i="67" s="1"/>
  <c r="J14" i="67"/>
  <c r="Q49" i="67"/>
  <c r="C57" i="67"/>
  <c r="C13" i="67"/>
  <c r="C36" i="67"/>
  <c r="J59" i="67"/>
  <c r="J60" i="67" s="1"/>
  <c r="C17" i="15"/>
  <c r="E23" i="86" l="1"/>
  <c r="G23" i="86"/>
  <c r="D21" i="6"/>
  <c r="R21" i="6" s="1"/>
  <c r="R8" i="1" s="1"/>
  <c r="D22" i="6"/>
  <c r="D9" i="6"/>
  <c r="H25" i="6"/>
  <c r="D26" i="6"/>
  <c r="R26" i="6" s="1"/>
  <c r="D14" i="6"/>
  <c r="D13" i="6"/>
  <c r="H26" i="6"/>
  <c r="D10" i="6"/>
  <c r="C18" i="4"/>
  <c r="D28" i="6"/>
  <c r="H20" i="6"/>
  <c r="D6" i="6"/>
  <c r="D19" i="6"/>
  <c r="D11" i="6"/>
  <c r="H21" i="6"/>
  <c r="D25" i="6"/>
  <c r="R25" i="6" s="1"/>
  <c r="D20" i="6"/>
  <c r="R20" i="6" s="1"/>
  <c r="R7" i="1" s="1"/>
  <c r="L19" i="9"/>
  <c r="H24" i="6"/>
  <c r="D8" i="6"/>
  <c r="D16" i="6" s="1"/>
  <c r="D12" i="6"/>
  <c r="E61" i="40"/>
  <c r="F61" i="40" s="1"/>
  <c r="B2" i="40" s="1"/>
  <c r="B3" i="40" s="1"/>
  <c r="D15" i="6"/>
  <c r="H22" i="6"/>
  <c r="D5" i="6"/>
  <c r="M19" i="9"/>
  <c r="C118" i="9" s="1"/>
  <c r="C14" i="74" s="1"/>
  <c r="B2" i="74" s="1"/>
  <c r="D7" i="74" s="1"/>
  <c r="D24" i="6"/>
  <c r="R24" i="6" s="1"/>
  <c r="D29" i="6"/>
  <c r="D23" i="6"/>
  <c r="H23" i="6"/>
  <c r="J23" i="86"/>
  <c r="AQ6" i="1"/>
  <c r="AR6" i="1"/>
  <c r="T6" i="1"/>
  <c r="S16" i="1"/>
  <c r="E8" i="70"/>
  <c r="E2" i="70" s="1"/>
  <c r="T8" i="1"/>
  <c r="AR8" i="1"/>
  <c r="AQ8" i="1"/>
  <c r="D20" i="12"/>
  <c r="C20" i="12" s="1"/>
  <c r="C18" i="12" s="1"/>
  <c r="D10" i="69"/>
  <c r="D10" i="68"/>
  <c r="D10" i="11"/>
  <c r="C10" i="11" s="1"/>
  <c r="C20" i="11"/>
  <c r="C24" i="11"/>
  <c r="D1" i="43"/>
  <c r="E29" i="43"/>
  <c r="C26" i="43" s="1"/>
  <c r="B2" i="43" s="1"/>
  <c r="E6" i="3"/>
  <c r="M27" i="6"/>
  <c r="I19" i="6"/>
  <c r="AR7" i="1"/>
  <c r="AQ7" i="1"/>
  <c r="T7" i="1"/>
  <c r="C15" i="12"/>
  <c r="C12" i="12"/>
  <c r="F34" i="68"/>
  <c r="F11" i="12"/>
  <c r="C14" i="12" s="1"/>
  <c r="F34" i="11"/>
  <c r="R48" i="39"/>
  <c r="E47" i="39"/>
  <c r="G52" i="39"/>
  <c r="H52" i="39" s="1"/>
  <c r="G51" i="39"/>
  <c r="H51" i="39" s="1"/>
  <c r="I51" i="39"/>
  <c r="J51" i="39" s="1"/>
  <c r="I52" i="39"/>
  <c r="J52" i="39" s="1"/>
  <c r="Q48" i="67"/>
  <c r="L46" i="67"/>
  <c r="C56" i="67"/>
  <c r="C65" i="67" s="1"/>
  <c r="C75" i="67"/>
  <c r="Q70" i="67"/>
  <c r="C37" i="67"/>
  <c r="C30" i="67" s="1"/>
  <c r="C39" i="67" s="1"/>
  <c r="C61" i="67"/>
  <c r="C59" i="67" s="1"/>
  <c r="C64" i="67"/>
  <c r="J13" i="67"/>
  <c r="J23" i="67" s="1"/>
  <c r="J22" i="67"/>
  <c r="E6" i="76"/>
  <c r="M21" i="15"/>
  <c r="F35" i="15"/>
  <c r="C14" i="15"/>
  <c r="B6" i="76"/>
  <c r="H23" i="86" l="1"/>
  <c r="F23" i="86" s="1"/>
  <c r="B2" i="76"/>
  <c r="C15" i="15"/>
  <c r="C18" i="15"/>
  <c r="F63" i="15"/>
  <c r="C62" i="15" s="1"/>
  <c r="C34" i="15"/>
  <c r="C31" i="15" s="1"/>
  <c r="J20" i="15"/>
  <c r="E2" i="76"/>
  <c r="I27" i="6"/>
  <c r="S19" i="6"/>
  <c r="S27" i="6" s="1"/>
  <c r="H19" i="6"/>
  <c r="B3" i="43"/>
  <c r="C10" i="69"/>
  <c r="D19" i="69"/>
  <c r="D37" i="69" s="1"/>
  <c r="C37" i="69" s="1"/>
  <c r="C33" i="69" s="1"/>
  <c r="D30" i="6"/>
  <c r="C25" i="11"/>
  <c r="C22" i="11" s="1"/>
  <c r="C28" i="11"/>
  <c r="C27" i="11" s="1"/>
  <c r="C10" i="68"/>
  <c r="D19" i="68"/>
  <c r="D37" i="68" s="1"/>
  <c r="C37" i="68" s="1"/>
  <c r="T16" i="1"/>
  <c r="R23" i="6"/>
  <c r="D27" i="6"/>
  <c r="D31" i="6" s="1"/>
  <c r="C4" i="52"/>
  <c r="B45" i="72" s="1"/>
  <c r="A7" i="51"/>
  <c r="B7" i="72" s="1"/>
  <c r="A10" i="51"/>
  <c r="B9" i="72" s="1"/>
  <c r="R22" i="6"/>
  <c r="C16" i="12"/>
  <c r="C21" i="12" s="1"/>
  <c r="C22" i="12" s="1"/>
  <c r="C48" i="39"/>
  <c r="C47" i="39"/>
  <c r="E51" i="39"/>
  <c r="F51" i="39" s="1"/>
  <c r="E52" i="39"/>
  <c r="F52" i="39" s="1"/>
  <c r="C34" i="11"/>
  <c r="C36" i="11"/>
  <c r="C37" i="11"/>
  <c r="C36" i="68"/>
  <c r="C34" i="68"/>
  <c r="J16" i="67"/>
  <c r="J25" i="67" s="1"/>
  <c r="C58" i="67"/>
  <c r="C67" i="67" s="1"/>
  <c r="C68" i="67" s="1"/>
  <c r="C71" i="67" s="1"/>
  <c r="Q69" i="67"/>
  <c r="Q68" i="67" s="1"/>
  <c r="C40" i="67"/>
  <c r="C80" i="67"/>
  <c r="C79" i="67" s="1"/>
  <c r="L51" i="67"/>
  <c r="C19" i="15" l="1"/>
  <c r="B3" i="76"/>
  <c r="C20" i="15"/>
  <c r="C23" i="15" s="1"/>
  <c r="I6" i="6"/>
  <c r="I5" i="6"/>
  <c r="H27" i="6"/>
  <c r="R19" i="6"/>
  <c r="C31" i="11"/>
  <c r="C39" i="69"/>
  <c r="C43" i="69" s="1"/>
  <c r="C42" i="69"/>
  <c r="C35" i="68"/>
  <c r="C38" i="68"/>
  <c r="C38" i="11"/>
  <c r="C35" i="11"/>
  <c r="C33" i="11" s="1"/>
  <c r="B56" i="39"/>
  <c r="F56" i="39" s="1"/>
  <c r="B62" i="39"/>
  <c r="F62" i="39" s="1"/>
  <c r="B63" i="39"/>
  <c r="F63" i="39" s="1"/>
  <c r="B64" i="39"/>
  <c r="F64" i="39" s="1"/>
  <c r="B65" i="39"/>
  <c r="F65" i="39" s="1"/>
  <c r="B57" i="39"/>
  <c r="F57" i="39" s="1"/>
  <c r="B58" i="39"/>
  <c r="F58" i="39" s="1"/>
  <c r="B59" i="39"/>
  <c r="F59" i="39" s="1"/>
  <c r="B60" i="39"/>
  <c r="F60" i="39" s="1"/>
  <c r="B61" i="39"/>
  <c r="F61" i="39" s="1"/>
  <c r="C45" i="67"/>
  <c r="C46" i="67" s="1"/>
  <c r="Q67" i="67"/>
  <c r="L57" i="67"/>
  <c r="L60" i="67" s="1"/>
  <c r="Q65" i="67"/>
  <c r="Q47" i="67"/>
  <c r="Q53" i="67" s="1"/>
  <c r="D2" i="67"/>
  <c r="Q56" i="67"/>
  <c r="C43" i="67"/>
  <c r="C83" i="67"/>
  <c r="C82" i="67" s="1"/>
  <c r="C41" i="69" l="1"/>
  <c r="C46" i="69"/>
  <c r="C45" i="69" s="1"/>
  <c r="R27" i="6"/>
  <c r="R6" i="1"/>
  <c r="R16" i="1" s="1"/>
  <c r="C26" i="15"/>
  <c r="C29" i="15" s="1"/>
  <c r="C33" i="68"/>
  <c r="C39" i="68" s="1"/>
  <c r="C43" i="68" s="1"/>
  <c r="F66" i="39"/>
  <c r="B2" i="39" s="1"/>
  <c r="C39" i="11"/>
  <c r="C43" i="11" s="1"/>
  <c r="C42" i="11"/>
  <c r="B2" i="67"/>
  <c r="B3" i="67"/>
  <c r="Q66" i="67"/>
  <c r="Q75" i="67" s="1"/>
  <c r="Q57" i="67"/>
  <c r="Q62" i="67" s="1"/>
  <c r="C49" i="69" l="1"/>
  <c r="C51" i="69" s="1"/>
  <c r="C42" i="68"/>
  <c r="C41" i="68" s="1"/>
  <c r="C13" i="15"/>
  <c r="Q49" i="15"/>
  <c r="J14" i="15"/>
  <c r="C57" i="15"/>
  <c r="J19" i="15"/>
  <c r="J17" i="15" s="1"/>
  <c r="C36" i="15"/>
  <c r="C52" i="69"/>
  <c r="B2" i="69" s="1"/>
  <c r="B3" i="69" s="1"/>
  <c r="C41" i="11"/>
  <c r="C46" i="68"/>
  <c r="C45" i="68" s="1"/>
  <c r="C46" i="11"/>
  <c r="C45" i="11" s="1"/>
  <c r="C49" i="11" s="1"/>
  <c r="C51" i="11" s="1"/>
  <c r="C6" i="68"/>
  <c r="B3" i="39"/>
  <c r="C57" i="69" l="1"/>
  <c r="C56" i="69" s="1"/>
  <c r="J22" i="15"/>
  <c r="J13" i="15"/>
  <c r="J23" i="15" s="1"/>
  <c r="C37" i="15"/>
  <c r="C56" i="15"/>
  <c r="C65" i="15" s="1"/>
  <c r="Q70" i="15"/>
  <c r="C75" i="15"/>
  <c r="C30" i="15"/>
  <c r="C39" i="15" s="1"/>
  <c r="C61" i="15"/>
  <c r="C59" i="15" s="1"/>
  <c r="C64" i="15"/>
  <c r="C49" i="68"/>
  <c r="C51" i="68" s="1"/>
  <c r="F35" i="9" s="1"/>
  <c r="D17" i="74"/>
  <c r="E25" i="86" s="1"/>
  <c r="I25" i="86" s="1"/>
  <c r="C52" i="11"/>
  <c r="B2" i="11" s="1"/>
  <c r="B3" i="11" s="1"/>
  <c r="C7" i="68"/>
  <c r="C5" i="68" s="1"/>
  <c r="L51" i="15"/>
  <c r="C80" i="15" l="1"/>
  <c r="C79" i="15" s="1"/>
  <c r="J16" i="15"/>
  <c r="J25" i="15" s="1"/>
  <c r="Q67" i="15"/>
  <c r="C58" i="15"/>
  <c r="C67" i="15" s="1"/>
  <c r="C68" i="15" s="1"/>
  <c r="C40" i="15"/>
  <c r="Q69" i="15"/>
  <c r="Q68" i="15" s="1"/>
  <c r="C56" i="11"/>
  <c r="C57" i="11" s="1"/>
  <c r="G17" i="74"/>
  <c r="E17" i="74"/>
  <c r="J25" i="86" s="1"/>
  <c r="F17" i="74"/>
  <c r="D16" i="74"/>
  <c r="I24" i="86" s="1"/>
  <c r="C20" i="68"/>
  <c r="C25" i="68" s="1"/>
  <c r="C23" i="68"/>
  <c r="C22" i="68" l="1"/>
  <c r="Q47" i="15"/>
  <c r="Q53" i="15" s="1"/>
  <c r="Q65" i="15"/>
  <c r="Q75" i="15" s="1"/>
  <c r="Q56" i="15"/>
  <c r="Q62" i="15" s="1"/>
  <c r="C43" i="15"/>
  <c r="C83" i="15"/>
  <c r="C82" i="15" s="1"/>
  <c r="B2" i="15"/>
  <c r="C28" i="68"/>
  <c r="C27" i="68" s="1"/>
  <c r="C46" i="15"/>
  <c r="C71" i="15"/>
  <c r="G16" i="74"/>
  <c r="E16" i="74"/>
  <c r="J24" i="86" s="1"/>
  <c r="F16" i="74"/>
  <c r="AO8" i="1"/>
  <c r="C31" i="68" l="1"/>
  <c r="C52" i="68" s="1"/>
  <c r="B2" i="68" s="1"/>
  <c r="B8" i="70"/>
  <c r="B2" i="70" s="1"/>
  <c r="B3" i="70" s="1"/>
  <c r="B3" i="15"/>
  <c r="E6" i="12" s="1"/>
  <c r="E8" i="12"/>
  <c r="C4" i="12" s="1"/>
  <c r="D15" i="74"/>
  <c r="C19" i="9"/>
  <c r="C57" i="68" l="1"/>
  <c r="C56" i="68" s="1"/>
  <c r="C31" i="12"/>
  <c r="C23" i="12"/>
  <c r="C21" i="9"/>
  <c r="C102" i="9"/>
  <c r="B3" i="68"/>
  <c r="E15" i="74"/>
  <c r="G15" i="74"/>
  <c r="F15" i="74"/>
  <c r="C20" i="9"/>
  <c r="C30" i="12" l="1"/>
  <c r="C28" i="12" s="1"/>
  <c r="C27" i="12"/>
  <c r="C25" i="12" s="1"/>
  <c r="C103" i="9"/>
  <c r="C32" i="12" l="1"/>
  <c r="B2" i="12" s="1"/>
  <c r="B3" i="12" s="1"/>
  <c r="D19" i="9"/>
  <c r="D20" i="9"/>
  <c r="D22" i="9" l="1"/>
  <c r="G19" i="9"/>
  <c r="F34" i="9" s="1"/>
  <c r="D102" i="9"/>
  <c r="D21" i="9"/>
  <c r="D103" i="9"/>
  <c r="G20" i="9"/>
  <c r="G21" i="9" l="1"/>
  <c r="C32" i="9"/>
  <c r="H118" i="9" s="1"/>
  <c r="C35" i="9"/>
  <c r="D35" i="9"/>
  <c r="F118" i="9" l="1"/>
  <c r="C34" i="9"/>
  <c r="I22" i="86"/>
  <c r="I26" i="86" s="1"/>
  <c r="I27" i="86" s="1"/>
  <c r="C104" i="9"/>
  <c r="H101" i="9"/>
  <c r="D14" i="74"/>
  <c r="H4" i="52"/>
  <c r="I118" i="9"/>
  <c r="H119" i="9"/>
  <c r="H5" i="52" s="1"/>
  <c r="D34" i="9"/>
  <c r="G22" i="86" l="1"/>
  <c r="H22" i="86" s="1"/>
  <c r="J22" i="86"/>
  <c r="D118" i="9"/>
  <c r="E22" i="86" s="1"/>
  <c r="E26" i="86" s="1"/>
  <c r="E27" i="86" s="1"/>
  <c r="C105" i="9"/>
  <c r="H102" i="9"/>
  <c r="D7" i="53" s="1"/>
  <c r="B21" i="72" s="1"/>
  <c r="I4" i="52"/>
  <c r="E14" i="74"/>
  <c r="F14" i="74"/>
  <c r="B5" i="74"/>
  <c r="D45" i="9"/>
  <c r="H107" i="9"/>
  <c r="D5" i="53"/>
  <c r="M48" i="9"/>
  <c r="E30" i="86"/>
  <c r="E31" i="86"/>
  <c r="F119" i="9"/>
  <c r="F5" i="52" s="1"/>
  <c r="B53" i="72" s="1"/>
  <c r="F4" i="52"/>
  <c r="B51" i="72" s="1"/>
  <c r="G118" i="9"/>
  <c r="G26" i="86" l="1"/>
  <c r="G27" i="86" s="1"/>
  <c r="F22" i="86"/>
  <c r="D119" i="9"/>
  <c r="D5" i="52" s="1"/>
  <c r="B49" i="72" s="1"/>
  <c r="E118" i="9"/>
  <c r="D4" i="52"/>
  <c r="B47" i="72" s="1"/>
  <c r="E4" i="52"/>
  <c r="B48" i="72" s="1"/>
  <c r="D6" i="53"/>
  <c r="B22" i="72" s="1"/>
  <c r="B20" i="72"/>
  <c r="D53" i="9"/>
  <c r="D48" i="9" s="1"/>
  <c r="M52" i="9" s="1"/>
  <c r="C72" i="9"/>
  <c r="C93" i="9"/>
  <c r="C86" i="9" s="1"/>
  <c r="D52" i="9"/>
  <c r="D55" i="9"/>
  <c r="M53" i="9" s="1"/>
  <c r="C78" i="9"/>
  <c r="C73" i="9" s="1"/>
  <c r="C85" i="9"/>
  <c r="C95" i="9" s="1"/>
  <c r="C96" i="9" s="1"/>
  <c r="E96" i="9" s="1"/>
  <c r="E97" i="9" s="1"/>
  <c r="C64" i="9"/>
  <c r="C63" i="9" s="1"/>
  <c r="C67" i="9" s="1"/>
  <c r="C68" i="9" s="1"/>
  <c r="D54" i="9" s="1"/>
  <c r="C5" i="74"/>
  <c r="D5" i="74"/>
  <c r="G4" i="52"/>
  <c r="B52" i="72" s="1"/>
  <c r="H108" i="9"/>
  <c r="D15" i="53" s="1"/>
  <c r="B31" i="72" s="1"/>
  <c r="D13" i="53"/>
  <c r="D122" i="9"/>
  <c r="M49" i="9"/>
  <c r="L64" i="9" l="1"/>
  <c r="M64" i="9" s="1"/>
  <c r="L63" i="9"/>
  <c r="M63" i="9" s="1"/>
  <c r="L66" i="9"/>
  <c r="M66" i="9" s="1"/>
  <c r="L68" i="9"/>
  <c r="M68" i="9" s="1"/>
  <c r="L65" i="9"/>
  <c r="M65" i="9" s="1"/>
  <c r="L67" i="9"/>
  <c r="M67" i="9" s="1"/>
  <c r="B30" i="72"/>
  <c r="D14" i="53"/>
  <c r="B32" i="72" s="1"/>
  <c r="C79" i="9"/>
  <c r="G14" i="74"/>
  <c r="B6" i="74" s="1"/>
  <c r="D8" i="52"/>
  <c r="D123" i="9"/>
  <c r="D9" i="52" s="1"/>
  <c r="C97" i="9"/>
  <c r="D58" i="9" s="1"/>
  <c r="D56" i="9" s="1"/>
  <c r="M54" i="9" s="1"/>
  <c r="N57" i="9" s="1"/>
  <c r="N58" i="9" s="1"/>
  <c r="C6" i="74" l="1"/>
  <c r="D6" i="74"/>
  <c r="M69" i="9"/>
  <c r="N69" i="9" s="1"/>
  <c r="C80" i="9"/>
  <c r="E80" i="9" s="1"/>
  <c r="E81" i="9" s="1"/>
  <c r="P57" i="9"/>
  <c r="N59" i="9"/>
  <c r="H111" i="9" s="1"/>
  <c r="C81" i="9" l="1"/>
  <c r="N61" i="9"/>
  <c r="H112" i="9" s="1"/>
  <c r="D21" i="53" s="1"/>
  <c r="B39" i="72" s="1"/>
  <c r="N60" i="9"/>
  <c r="D126" i="9"/>
  <c r="D19" i="53"/>
  <c r="D20" i="53" l="1"/>
  <c r="B40" i="72" s="1"/>
  <c r="B38" i="72"/>
  <c r="D127" i="9"/>
  <c r="D13" i="52" s="1"/>
  <c r="I14" i="74"/>
  <c r="I17" i="74" s="1"/>
  <c r="B8" i="74" s="1"/>
  <c r="E32" i="86" s="1"/>
  <c r="E33" i="86" s="1"/>
  <c r="D12" i="52"/>
  <c r="H6" i="86" l="1"/>
  <c r="H10" i="86" s="1"/>
  <c r="C8" i="74"/>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<sst xmlns="http://schemas.openxmlformats.org/spreadsheetml/2006/main" count="9469" uniqueCount="3840">
  <si>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</si>
  <si>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</si>
  <si>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</si>
  <si>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</si>
  <si>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</si>
  <si>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</si>
  <si>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</si>
  <si>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</si>
  <si>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</si>
  <si>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</si>
  <si>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</si>
  <si>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</si>
  <si>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</si>
  <si>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</si>
  <si>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</si>
  <si>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</si>
  <si>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</si>
  <si>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</si>
  <si>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</si>
  <si>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</si>
  <si>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</si>
  <si>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</si>
  <si>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</si>
  <si>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</si>
  <si>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</si>
  <si>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</si>
  <si>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</si>
  <si>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</si>
  <si>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</si>
  <si>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</si>
  <si>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</si>
  <si>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</si>
  <si>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</si>
  <si>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</si>
  <si>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</si>
  <si>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</si>
  <si>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</si>
  <si>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</si>
  <si>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</si>
  <si>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</si>
  <si>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</si>
  <si>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</si>
  <si>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</si>
  <si>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</si>
  <si>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</si>
  <si>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</si>
  <si>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</si>
  <si>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</si>
  <si>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</si>
  <si>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</si>
  <si>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</si>
  <si>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</si>
  <si>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</si>
  <si>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</si>
  <si>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</si>
  <si>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</si>
  <si>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</si>
  <si>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</si>
  <si>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</si>
  <si>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</si>
  <si>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</si>
  <si>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</si>
  <si>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</si>
  <si>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</si>
  <si>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</si>
  <si>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</si>
  <si>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</si>
  <si>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</si>
  <si>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</si>
  <si>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</si>
  <si>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</si>
  <si>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</si>
  <si>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</si>
  <si>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</si>
  <si>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</si>
  <si>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</si>
  <si>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</si>
  <si>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</si>
  <si>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</si>
  <si>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</si>
  <si>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</si>
  <si>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</si>
  <si>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</si>
  <si>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</si>
  <si>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</si>
  <si>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</si>
  <si>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</si>
  <si>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</si>
  <si>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</si>
  <si>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</si>
  <si>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</si>
  <si>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</si>
  <si>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</si>
  <si>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</si>
  <si>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</si>
  <si>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</si>
  <si>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</si>
  <si>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</si>
  <si>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</si>
  <si>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</si>
  <si>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</si>
  <si>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</si>
  <si>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</si>
  <si>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</si>
  <si>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</si>
  <si>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</si>
  <si>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</si>
  <si>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</si>
  <si>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</si>
  <si>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</si>
  <si>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</si>
  <si>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</si>
  <si>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</si>
  <si>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</si>
  <si>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</si>
  <si>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</si>
  <si>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</si>
  <si>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</si>
  <si>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</si>
  <si>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</si>
  <si>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</si>
  <si>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</si>
  <si>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</si>
  <si>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</si>
  <si>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</si>
  <si>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</si>
  <si>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</si>
  <si>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</si>
  <si>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</si>
  <si>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</si>
  <si>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</si>
  <si>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</si>
  <si>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</si>
  <si>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</si>
  <si>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</si>
  <si>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</si>
  <si>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</si>
  <si>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</si>
  <si>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</si>
  <si>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</si>
  <si>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</si>
  <si>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</si>
  <si>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</si>
  <si>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</si>
  <si>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</si>
  <si>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</si>
  <si>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</si>
  <si>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</si>
  <si>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</si>
  <si>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</si>
  <si>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</si>
  <si>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</si>
  <si>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</si>
  <si>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</si>
  <si>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</si>
  <si>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</si>
  <si>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</si>
  <si>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</si>
  <si>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</si>
  <si>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</si>
  <si>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</si>
  <si>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</si>
  <si>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</si>
  <si>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</si>
  <si>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</si>
  <si>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</si>
  <si>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</si>
  <si>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</si>
  <si>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</si>
  <si>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</si>
  <si>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</si>
  <si>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</si>
  <si>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</si>
  <si>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</si>
  <si>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</si>
  <si>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</si>
  <si>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</si>
  <si>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</si>
  <si>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</si>
  <si>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</si>
  <si>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</si>
  <si>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</si>
  <si>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</si>
  <si>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</si>
  <si>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</si>
  <si>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</si>
  <si>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</si>
  <si>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</si>
  <si>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</si>
  <si>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</si>
  <si>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</si>
  <si>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</si>
  <si>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</si>
  <si>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</si>
  <si>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</si>
  <si>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</si>
  <si>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</si>
  <si>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</si>
  <si>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</si>
  <si>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</si>
  <si>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</si>
  <si>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</si>
  <si>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</si>
  <si>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</si>
  <si>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</si>
  <si>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</si>
  <si>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</si>
  <si>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</si>
  <si>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</si>
  <si>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</si>
  <si>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</si>
  <si>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</si>
  <si>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</si>
  <si>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</si>
  <si>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</si>
  <si>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</si>
  <si>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</si>
  <si>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</si>
  <si>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</si>
  <si>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</si>
  <si>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</si>
  <si>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</si>
  <si>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</si>
  <si>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</si>
  <si>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</si>
  <si>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</si>
  <si>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</si>
  <si>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</si>
  <si>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</si>
  <si>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</si>
  <si>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</si>
  <si>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</si>
  <si>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</si>
  <si>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</si>
  <si>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</si>
  <si>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</si>
  <si>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</si>
  <si>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</si>
  <si>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</si>
  <si>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</si>
  <si>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</si>
  <si>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</si>
  <si>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</si>
  <si>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</si>
  <si>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</si>
  <si>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</si>
  <si>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</si>
  <si>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</si>
  <si>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</si>
  <si>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</si>
  <si>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</si>
  <si>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</si>
  <si>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</si>
  <si>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</si>
  <si>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</si>
  <si>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</si>
  <si>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</si>
  <si>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</si>
  <si>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</si>
  <si>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</si>
  <si>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</si>
  <si>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</si>
  <si>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</si>
  <si>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</si>
  <si>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</si>
  <si>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</si>
  <si>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</si>
  <si>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</si>
  <si>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</si>
  <si>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</si>
  <si>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</si>
  <si>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</si>
  <si>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</si>
  <si>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</si>
  <si>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</si>
  <si>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</si>
  <si>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</si>
  <si>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</si>
  <si>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</si>
  <si>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</si>
  <si>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</si>
  <si>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</si>
  <si>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</si>
  <si>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</si>
  <si>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</si>
  <si>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</si>
  <si>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</si>
  <si>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</si>
  <si>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</si>
  <si>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</si>
  <si>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</si>
  <si>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</si>
  <si>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</si>
  <si>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</si>
  <si>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</si>
  <si>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</si>
  <si>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</si>
  <si>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</si>
  <si>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</si>
  <si>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</si>
  <si>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</si>
  <si>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</si>
  <si>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</si>
  <si>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</si>
  <si>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</si>
  <si>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</si>
  <si>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</si>
  <si>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</si>
  <si>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</si>
  <si>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</si>
  <si>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</si>
  <si>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</si>
  <si>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</si>
  <si>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</si>
  <si>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</si>
  <si>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</si>
  <si>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</si>
  <si>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</si>
  <si>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</si>
  <si>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</si>
  <si>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</si>
  <si>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</si>
  <si>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</si>
  <si>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</si>
  <si>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</si>
  <si>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</si>
  <si>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</si>
  <si>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</si>
  <si>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</si>
  <si>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</si>
  <si>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</si>
  <si>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</si>
  <si>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</si>
  <si>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</si>
  <si>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</si>
  <si>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</si>
  <si>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</si>
  <si>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</si>
  <si>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</si>
  <si>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</si>
  <si>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</si>
  <si>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</si>
  <si>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</si>
  <si>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</si>
  <si>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</si>
  <si>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</si>
  <si>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</si>
  <si>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</si>
  <si>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</si>
  <si>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</si>
  <si>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</si>
  <si>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</si>
  <si>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</si>
  <si>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</si>
  <si>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</si>
  <si>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</si>
  <si>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</si>
  <si>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</si>
  <si>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</si>
  <si>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</si>
  <si>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</si>
  <si>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</si>
  <si>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</si>
  <si>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</si>
  <si>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</si>
  <si>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</si>
  <si>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</si>
  <si>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</si>
  <si>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</si>
  <si>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</si>
  <si>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</si>
  <si>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</si>
  <si>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</si>
  <si>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</si>
  <si>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</si>
  <si>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</si>
  <si>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</si>
  <si>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</si>
  <si>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</si>
  <si>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</si>
  <si>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</si>
  <si>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</si>
  <si>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</si>
  <si>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</si>
  <si>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</si>
  <si>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</si>
  <si>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</si>
  <si>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</si>
  <si>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</si>
  <si>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</si>
  <si>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</si>
  <si>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</si>
  <si>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</si>
  <si>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</si>
  <si>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</si>
  <si>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</si>
  <si>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</si>
  <si>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</si>
  <si>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</si>
  <si>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</si>
  <si>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</si>
  <si>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</si>
  <si>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</si>
  <si>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</si>
  <si>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</si>
  <si>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</si>
  <si>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</si>
  <si>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</si>
  <si>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</si>
  <si>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</si>
  <si>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</si>
  <si>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</si>
  <si>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</si>
  <si>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</si>
  <si>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</si>
  <si>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</si>
  <si>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</si>
  <si>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</si>
  <si>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</si>
  <si>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</si>
  <si>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</si>
  <si>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</si>
  <si>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</si>
  <si>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</si>
  <si>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</si>
  <si>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</si>
  <si>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</si>
  <si>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</si>
  <si>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</si>
  <si>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</si>
  <si>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</si>
  <si>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</si>
  <si>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</si>
  <si>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</si>
  <si>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</si>
  <si>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</si>
  <si>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</si>
  <si>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</si>
  <si>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</si>
  <si>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</si>
  <si>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</si>
  <si>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</si>
  <si>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</si>
  <si>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</si>
  <si>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</si>
  <si>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</si>
  <si>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</si>
  <si>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</si>
  <si>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</si>
  <si>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</si>
  <si>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</si>
  <si>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</si>
  <si>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</si>
  <si>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</si>
  <si>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</si>
  <si>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</si>
  <si>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</si>
  <si>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</si>
  <si>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</si>
  <si>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</si>
  <si>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</si>
  <si>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</si>
  <si>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</si>
  <si>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</si>
  <si>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</si>
  <si>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</si>
  <si>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</si>
  <si>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</si>
  <si>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</si>
  <si>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</si>
  <si>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</si>
  <si>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</si>
  <si>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</si>
  <si>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</si>
  <si>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</si>
  <si>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</si>
  <si>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</si>
  <si>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</si>
  <si>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</si>
  <si>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</si>
  <si>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</si>
  <si>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</si>
  <si>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</si>
  <si>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</si>
  <si>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</si>
  <si>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</si>
  <si>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</si>
  <si>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</si>
  <si>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</si>
  <si>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</si>
  <si>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</si>
  <si>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</si>
  <si>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</si>
  <si>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</si>
  <si>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</si>
  <si>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</si>
  <si>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</si>
  <si>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</si>
  <si>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</si>
  <si>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</si>
  <si>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</si>
  <si>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</si>
  <si>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</si>
  <si>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</si>
  <si>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</si>
  <si>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</si>
  <si>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</si>
  <si>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</si>
  <si>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</si>
  <si>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</si>
  <si>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</si>
  <si>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</si>
  <si>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</si>
  <si>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</si>
  <si>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</si>
  <si>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</si>
  <si>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</si>
  <si>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</si>
  <si>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</si>
  <si>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</si>
  <si>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</si>
  <si>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</si>
  <si>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</si>
  <si>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</si>
  <si>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</si>
  <si>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</si>
  <si>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</si>
  <si>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</si>
  <si>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</si>
  <si>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</si>
  <si>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</si>
  <si>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</si>
  <si>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</si>
  <si>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</si>
  <si>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</si>
  <si>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</si>
  <si>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</si>
  <si>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</si>
  <si>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</si>
  <si>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</si>
  <si>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</si>
  <si>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</si>
  <si>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</si>
  <si>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</si>
  <si>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</si>
  <si>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</si>
  <si>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</si>
  <si>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</si>
  <si>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</si>
  <si>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</si>
  <si>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</si>
  <si>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</si>
  <si>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</si>
  <si>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</si>
  <si>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</si>
  <si>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</si>
  <si>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</si>
  <si>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</si>
  <si>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</si>
  <si>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</si>
  <si>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</si>
  <si>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</si>
  <si>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</si>
  <si>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</si>
  <si>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</si>
  <si>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</si>
  <si>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</si>
  <si>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</si>
  <si>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</si>
  <si>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</si>
  <si>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</si>
  <si>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</si>
  <si>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</si>
  <si>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</si>
  <si>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</si>
  <si>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</si>
  <si>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</si>
  <si>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</si>
  <si>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</si>
  <si>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</si>
  <si>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</si>
  <si>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</si>
  <si>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</si>
  <si>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</si>
  <si>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</si>
  <si>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</si>
  <si>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</si>
  <si>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</si>
  <si>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</si>
  <si>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</si>
  <si>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</si>
  <si>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</si>
  <si>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</si>
  <si>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</si>
  <si>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</si>
  <si>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</si>
  <si>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</si>
  <si>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</si>
  <si>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</si>
  <si>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</si>
  <si>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</si>
  <si>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</si>
  <si>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</si>
  <si>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</si>
  <si>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</si>
  <si>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</si>
  <si>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</si>
  <si>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</si>
  <si>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</si>
  <si>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</si>
  <si>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</si>
  <si>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</si>
  <si>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</si>
  <si>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</si>
  <si>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</si>
  <si>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</si>
  <si>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</si>
  <si>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</si>
  <si>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</si>
  <si>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</si>
  <si>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</si>
  <si>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</si>
  <si>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</si>
  <si>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</si>
  <si>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</si>
  <si>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</si>
  <si>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</si>
  <si>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</si>
  <si>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</si>
  <si>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</si>
  <si>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</si>
  <si>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</si>
  <si>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</si>
  <si>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</si>
  <si>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</si>
  <si>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</si>
  <si>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</si>
  <si>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</si>
  <si>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</si>
  <si>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</si>
  <si>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</si>
  <si>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</si>
  <si>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</si>
  <si>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</si>
  <si>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</si>
  <si>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</si>
  <si>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</si>
  <si>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</si>
  <si>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</si>
  <si>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</si>
  <si>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</si>
  <si>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</si>
  <si>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</si>
  <si>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</si>
  <si>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</si>
  <si>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</si>
  <si>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</si>
  <si>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</si>
  <si>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</si>
  <si>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</si>
  <si>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</si>
  <si>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</si>
  <si>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</si>
  <si>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</si>
  <si>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</si>
  <si>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</si>
  <si>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</si>
  <si>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</si>
  <si>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</si>
  <si>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</si>
  <si>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</si>
  <si>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</si>
  <si>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</si>
  <si>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</si>
  <si>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</si>
  <si>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</si>
  <si>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</si>
  <si>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</si>
  <si>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</si>
  <si>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</si>
  <si>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</si>
  <si>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</si>
  <si>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</si>
  <si>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</si>
  <si>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</si>
  <si>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</si>
  <si>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</si>
  <si>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</si>
  <si>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</si>
  <si>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</si>
  <si>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</si>
  <si>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</si>
  <si>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</si>
  <si>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</si>
  <si>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</si>
  <si>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</si>
  <si>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</si>
  <si>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</si>
  <si>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</si>
  <si>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</si>
  <si>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</si>
  <si>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</si>
  <si>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</si>
  <si>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</si>
  <si>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</si>
  <si>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</si>
  <si>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</si>
  <si>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</si>
  <si>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</si>
  <si>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</si>
  <si>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</si>
  <si>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</si>
  <si>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</si>
  <si>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</si>
  <si>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</si>
  <si>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</si>
  <si>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</si>
  <si>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</si>
  <si>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</si>
  <si>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</si>
  <si>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</si>
  <si>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</si>
  <si>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</si>
  <si>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</si>
  <si>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</si>
  <si>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</si>
  <si>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</si>
  <si>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</si>
  <si>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</si>
  <si>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</si>
  <si>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</si>
  <si>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</si>
  <si>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</si>
  <si>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</si>
  <si>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</si>
  <si>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</si>
  <si>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</si>
  <si>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</si>
  <si>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</si>
  <si>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</si>
  <si>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</si>
  <si>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</si>
  <si>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</si>
  <si>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</si>
  <si>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</si>
  <si>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</si>
  <si>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</si>
  <si>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</si>
  <si>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</si>
  <si>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</si>
  <si>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</si>
  <si>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</si>
  <si>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</si>
  <si>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</si>
  <si>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</si>
  <si>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</si>
  <si>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</si>
  <si>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</si>
  <si>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</si>
  <si>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</si>
  <si>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</si>
  <si>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</si>
  <si>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</si>
  <si>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</si>
  <si>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</si>
  <si>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</si>
  <si>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</si>
  <si>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</si>
  <si>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</si>
  <si>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</si>
  <si>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</si>
  <si>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</si>
  <si>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</si>
  <si>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</si>
  <si>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</si>
  <si>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</si>
  <si>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</si>
  <si>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</si>
  <si>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</si>
  <si>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</si>
  <si>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</si>
  <si>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</si>
  <si>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</si>
  <si>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</si>
  <si>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</si>
  <si>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</si>
  <si>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</si>
  <si>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</si>
  <si>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</si>
  <si>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</si>
  <si>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</si>
  <si>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</si>
  <si>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</si>
  <si>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</si>
  <si>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</si>
  <si>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</si>
  <si>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</si>
  <si>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</si>
  <si>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</si>
  <si>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</si>
  <si>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</si>
  <si>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</si>
  <si>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</si>
  <si>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</si>
  <si>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</si>
  <si>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</si>
  <si>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</si>
  <si>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</si>
  <si>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</si>
  <si>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</si>
  <si>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</si>
  <si>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</si>
  <si>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</si>
  <si>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</si>
  <si>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</si>
  <si>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</si>
  <si>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</si>
  <si>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</si>
  <si>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</si>
  <si>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</si>
  <si>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</si>
  <si>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</si>
  <si>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</si>
  <si>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</si>
  <si>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</si>
  <si>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</si>
  <si>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</si>
  <si>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</si>
  <si>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</si>
  <si>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</si>
  <si>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</si>
  <si>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</si>
  <si>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</si>
  <si>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</si>
  <si>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</si>
  <si>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</si>
  <si>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</si>
  <si>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</si>
  <si>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</si>
  <si>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</si>
  <si>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</si>
  <si>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</si>
  <si>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</si>
  <si>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</si>
  <si>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</si>
  <si>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</si>
  <si>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</si>
  <si>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</si>
  <si>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</si>
  <si>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</si>
  <si>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</si>
  <si>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</si>
  <si>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</si>
  <si>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</si>
  <si>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</si>
  <si>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</si>
  <si>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</si>
  <si>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</si>
  <si>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</si>
  <si>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</si>
  <si>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</si>
  <si>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</si>
  <si>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</si>
  <si>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</si>
  <si>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</si>
  <si>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</si>
  <si>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</si>
  <si>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</si>
  <si>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</si>
  <si>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</si>
  <si>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</si>
  <si>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</si>
  <si>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</si>
  <si>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</si>
  <si>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</si>
  <si>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</si>
  <si>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</si>
  <si>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</si>
  <si>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</si>
  <si>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</si>
  <si>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</si>
  <si>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</si>
  <si>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</si>
  <si>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</si>
  <si>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</si>
  <si>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</si>
  <si>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</si>
  <si>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</si>
  <si>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</si>
  <si>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</si>
  <si>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</si>
  <si>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</si>
  <si>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</si>
  <si>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</si>
  <si>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</si>
  <si>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</si>
  <si>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</si>
  <si>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</si>
  <si>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</si>
  <si>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</si>
  <si>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</si>
  <si>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</si>
  <si>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</si>
  <si>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</si>
  <si>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</si>
  <si>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</si>
  <si>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</si>
  <si>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</si>
  <si>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</si>
  <si>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</si>
  <si>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</si>
  <si>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</si>
  <si>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</si>
  <si>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</si>
  <si>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</si>
  <si>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</si>
  <si>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</si>
  <si>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</si>
  <si>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</si>
  <si>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</si>
  <si>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</si>
  <si>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</si>
  <si>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</si>
  <si>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</si>
  <si>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</si>
  <si>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</si>
  <si>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</si>
  <si>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</si>
  <si>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</si>
  <si>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</si>
  <si>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</si>
  <si>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</si>
  <si>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</si>
  <si>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</si>
  <si>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</si>
  <si>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</si>
  <si>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</si>
  <si>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</si>
  <si>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</si>
  <si>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</si>
  <si>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</si>
  <si>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</si>
  <si>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</si>
  <si>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</si>
  <si>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</si>
  <si>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</si>
  <si>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</si>
  <si>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</si>
  <si>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</si>
  <si>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</si>
  <si>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</si>
  <si>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</si>
  <si>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</si>
  <si>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</si>
  <si>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</si>
  <si>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</si>
  <si>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</si>
  <si>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</si>
  <si>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</si>
  <si>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</si>
  <si>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</si>
  <si>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</si>
  <si>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</si>
  <si>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</si>
  <si>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</si>
  <si>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</si>
  <si>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</si>
  <si>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</si>
  <si>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</si>
  <si>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</si>
  <si>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</si>
  <si>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</si>
  <si>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</si>
  <si>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</si>
  <si>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</si>
  <si>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</si>
  <si>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</si>
  <si>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</si>
  <si>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</si>
  <si>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</si>
  <si>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</si>
  <si>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</si>
  <si>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</si>
  <si>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</si>
  <si>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</si>
  <si>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</si>
  <si>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</si>
  <si>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</si>
  <si>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</si>
  <si>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</si>
  <si>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</si>
  <si>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</si>
  <si>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</si>
  <si>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</si>
  <si>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</si>
  <si>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</si>
  <si>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</si>
  <si>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</si>
  <si>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</si>
  <si>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</si>
  <si>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</si>
  <si>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</si>
  <si>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</si>
  <si>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</si>
  <si>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</si>
  <si>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</si>
  <si>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</si>
  <si>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</si>
  <si>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</si>
  <si>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</si>
  <si>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</si>
  <si>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</si>
  <si>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</si>
  <si>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</si>
  <si>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</si>
  <si>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</si>
  <si>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</si>
  <si>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</si>
  <si>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</si>
  <si>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</si>
  <si>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</si>
  <si>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</si>
  <si>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</si>
  <si>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</si>
  <si>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</si>
  <si>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</si>
  <si>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</si>
  <si>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</si>
  <si>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</si>
  <si>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</si>
  <si>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</si>
  <si>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</si>
  <si>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</si>
  <si>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</si>
  <si>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</si>
  <si>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</si>
  <si>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</si>
  <si>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</si>
  <si>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</si>
  <si>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</si>
  <si>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</si>
  <si>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</si>
  <si>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</si>
  <si>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</si>
  <si>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</si>
  <si>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</si>
  <si>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</si>
  <si>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</si>
  <si>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</si>
  <si>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</si>
  <si>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</si>
  <si>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</si>
  <si>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</si>
  <si>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</si>
  <si>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</si>
  <si>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</si>
  <si>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</si>
  <si>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</si>
  <si>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</si>
  <si>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</si>
  <si>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</si>
  <si>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</si>
  <si>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</si>
  <si>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</si>
  <si>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</si>
  <si>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</si>
  <si>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</si>
  <si>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</si>
  <si>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</si>
  <si>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</si>
  <si>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</si>
  <si>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</si>
  <si>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</si>
  <si>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</si>
  <si>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</si>
  <si>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</si>
  <si>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</si>
  <si>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</si>
  <si>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</si>
  <si>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</si>
  <si>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</si>
  <si>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</si>
  <si>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</si>
  <si>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</si>
  <si>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</si>
  <si>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</si>
  <si>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</si>
  <si>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</si>
  <si>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</si>
  <si>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</si>
  <si>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</si>
  <si>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</si>
  <si>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</si>
  <si>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</si>
  <si>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</si>
  <si>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</si>
  <si>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</si>
  <si>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</si>
  <si>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</si>
  <si>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</si>
  <si>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</si>
  <si>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</si>
  <si>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</si>
  <si>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</si>
  <si>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</si>
  <si>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</si>
  <si>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</si>
  <si>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</si>
  <si>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</si>
  <si>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</si>
  <si>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</si>
  <si>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</si>
  <si>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</si>
  <si>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</si>
  <si>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</si>
  <si>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</si>
  <si>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</si>
  <si>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</si>
  <si>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</si>
  <si>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</si>
  <si>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</si>
  <si>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</si>
  <si>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</si>
  <si>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</si>
  <si>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</si>
  <si>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</si>
  <si>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</si>
  <si>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</si>
  <si>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</si>
  <si>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</si>
  <si>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</si>
  <si>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</si>
  <si>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</si>
  <si>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</si>
  <si>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</si>
  <si>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</si>
  <si>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</si>
  <si>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</si>
  <si>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</si>
  <si>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</si>
  <si>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</si>
  <si>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</si>
  <si>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</si>
  <si>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</si>
  <si>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</si>
  <si>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</si>
  <si>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</si>
  <si>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</si>
  <si>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</si>
  <si>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</si>
  <si>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</si>
  <si>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</si>
  <si>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</si>
  <si>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</si>
  <si>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</si>
  <si>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</si>
  <si>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</si>
  <si>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</si>
  <si>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</si>
  <si>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</si>
  <si>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</si>
  <si>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</si>
  <si>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</si>
  <si>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</si>
  <si>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</si>
  <si>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</si>
  <si>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</si>
  <si>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</si>
  <si>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</si>
  <si>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</si>
  <si>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</si>
  <si>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</si>
  <si>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</si>
  <si>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</si>
  <si>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</si>
  <si>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</si>
  <si>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</si>
  <si>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</si>
  <si>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</si>
  <si>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</si>
  <si>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</si>
  <si>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</si>
  <si>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</si>
  <si>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</si>
  <si>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</si>
  <si>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</si>
  <si>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</si>
  <si>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</si>
  <si>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</si>
  <si>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</si>
  <si>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</si>
  <si>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</si>
  <si>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</si>
  <si>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</si>
  <si>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</si>
  <si>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</si>
  <si>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</si>
  <si>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</si>
  <si>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</si>
  <si>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</si>
  <si>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</si>
  <si>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</si>
  <si>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</si>
  <si>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</si>
  <si>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</si>
  <si>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</si>
  <si>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</si>
  <si>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</si>
  <si>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</si>
  <si>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</si>
  <si>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</si>
  <si>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</si>
  <si>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</si>
  <si>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</si>
  <si>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</si>
  <si>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</si>
  <si>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</si>
  <si>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</si>
  <si>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</si>
  <si>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</si>
  <si>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</si>
  <si>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</si>
  <si>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</si>
  <si>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</si>
  <si>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</si>
  <si>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</si>
  <si>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</si>
  <si>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</si>
  <si>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</si>
  <si>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</si>
  <si>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</si>
  <si>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</si>
  <si>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</si>
  <si>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</si>
  <si>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</si>
  <si>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</si>
  <si>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</si>
  <si>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</si>
  <si>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</si>
  <si>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</si>
  <si>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</si>
  <si>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</si>
  <si>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</si>
  <si>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</si>
  <si>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</si>
  <si>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</si>
  <si>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</si>
  <si>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</si>
  <si>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</si>
  <si>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</si>
  <si>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</si>
  <si>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</si>
  <si>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</si>
  <si>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</si>
  <si>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</si>
  <si>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</si>
  <si>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</si>
  <si>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</si>
  <si>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</si>
  <si>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</si>
  <si>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</si>
  <si>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</si>
  <si>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</si>
  <si>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</si>
  <si>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</si>
  <si>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</si>
  <si>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</si>
  <si>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</si>
  <si>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</si>
  <si>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</si>
  <si>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</si>
  <si>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</si>
  <si>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</si>
  <si>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</si>
  <si>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</si>
  <si>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</si>
  <si>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</si>
  <si>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</si>
  <si>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</si>
  <si>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</si>
  <si>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</si>
  <si>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</si>
  <si>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</si>
  <si>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</si>
  <si>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</si>
  <si>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</si>
  <si>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</si>
  <si>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</si>
  <si>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</si>
  <si>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</si>
  <si>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</si>
  <si>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</si>
  <si>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</si>
  <si>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</si>
  <si>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</si>
  <si>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</si>
  <si>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</si>
  <si>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</si>
  <si>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</si>
  <si>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</si>
  <si>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</si>
  <si>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</si>
  <si>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</si>
  <si>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</si>
  <si>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</si>
  <si>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</si>
  <si>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</si>
  <si>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</si>
  <si>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</si>
  <si>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</si>
  <si>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</si>
  <si>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</si>
  <si>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</si>
  <si>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</si>
  <si>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</si>
  <si>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</si>
  <si>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</si>
  <si>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</si>
  <si>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</si>
  <si>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</si>
  <si>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</si>
  <si>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</si>
  <si>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</si>
  <si>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</si>
  <si>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</si>
  <si>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</si>
  <si>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</si>
  <si>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</si>
  <si>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</si>
  <si>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</si>
  <si>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</si>
  <si>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</si>
  <si>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</si>
  <si>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</si>
  <si>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</si>
  <si>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</si>
  <si>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</si>
  <si>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</si>
  <si>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</si>
  <si>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</si>
  <si>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</si>
  <si>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</si>
  <si>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</si>
  <si>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</si>
  <si>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</si>
  <si>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</si>
  <si>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</si>
  <si>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</si>
  <si>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</si>
  <si>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</si>
  <si>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</si>
  <si>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</si>
  <si>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</si>
  <si>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</si>
  <si>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</si>
  <si>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</si>
  <si>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</si>
  <si>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</si>
  <si>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</si>
  <si>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</si>
  <si>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</si>
  <si>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</si>
  <si>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</si>
  <si>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</si>
  <si>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</si>
  <si>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</si>
  <si>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</si>
  <si>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</si>
  <si>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</si>
  <si>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</si>
  <si>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</si>
  <si>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</si>
  <si>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</si>
  <si>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</si>
  <si>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</si>
  <si>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</si>
  <si>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</si>
  <si>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</si>
  <si>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</si>
  <si>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</si>
  <si>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</si>
  <si>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</si>
  <si>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</si>
  <si>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</si>
  <si>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</si>
  <si>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</si>
  <si>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</si>
  <si>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</si>
  <si>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</si>
  <si>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</si>
  <si>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</si>
  <si>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</si>
  <si>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</si>
  <si>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</si>
  <si>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</si>
  <si>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</si>
  <si>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</si>
  <si>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</si>
  <si>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</si>
  <si>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</si>
  <si>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</si>
  <si>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</si>
  <si>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</si>
  <si>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</si>
  <si>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</si>
  <si>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</si>
  <si>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</si>
  <si>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</si>
  <si>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</si>
  <si>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</si>
  <si>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</si>
  <si>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</si>
  <si>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</si>
  <si>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</si>
  <si>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</si>
  <si>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</si>
  <si>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</si>
  <si>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</si>
  <si>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</si>
  <si>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</si>
  <si>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</si>
  <si>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</si>
  <si>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</si>
  <si>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</si>
  <si>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</si>
  <si>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</si>
  <si>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</si>
  <si>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</si>
  <si>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</si>
  <si>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</si>
  <si>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</si>
  <si>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</si>
  <si>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</si>
  <si>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</si>
  <si>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</si>
  <si>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</si>
  <si>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</si>
  <si>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</si>
  <si>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</si>
  <si>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</si>
  <si>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</si>
  <si>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</si>
  <si>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</si>
  <si>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</si>
  <si>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</si>
  <si>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</si>
  <si>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</si>
  <si>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</si>
  <si>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</si>
  <si>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</si>
  <si>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</si>
  <si>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</si>
  <si>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</si>
  <si>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</si>
  <si>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</si>
  <si>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</si>
  <si>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</si>
  <si>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</si>
  <si>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</si>
  <si>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</si>
  <si>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</si>
  <si>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</si>
  <si>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</si>
  <si>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</si>
  <si>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</si>
  <si>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</si>
  <si>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</si>
  <si>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</si>
  <si>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</si>
  <si>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</si>
  <si>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</si>
  <si>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</si>
  <si>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</si>
  <si>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</si>
  <si>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</si>
  <si>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</si>
  <si>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</si>
  <si>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</si>
  <si>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</si>
  <si>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</si>
  <si>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</si>
  <si>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</si>
  <si>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</si>
  <si>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</si>
  <si>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</si>
  <si>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</si>
  <si>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</si>
  <si>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</si>
  <si>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</si>
  <si>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</si>
  <si>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</si>
  <si>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</si>
  <si>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</si>
  <si>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</si>
  <si>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</si>
  <si>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</si>
  <si>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</si>
  <si>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</si>
  <si>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</si>
  <si>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</si>
  <si>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</si>
  <si>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</si>
  <si>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</si>
  <si>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</si>
  <si>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</si>
  <si>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</si>
  <si>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</si>
  <si>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</si>
  <si>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</si>
  <si>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</si>
  <si>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</si>
  <si>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</si>
  <si>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</si>
  <si>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</si>
  <si>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</si>
  <si>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</si>
  <si>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</si>
  <si>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</si>
  <si>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</si>
  <si>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</si>
  <si>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</si>
  <si>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</si>
  <si>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</si>
  <si>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</si>
  <si>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</si>
  <si>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</si>
  <si>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</si>
  <si>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</si>
  <si>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</si>
  <si>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</si>
  <si>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</si>
  <si>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</si>
  <si>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</si>
  <si>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</si>
  <si>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</si>
  <si>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</si>
  <si>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</si>
  <si>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</si>
  <si>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</si>
  <si>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</si>
  <si>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</si>
  <si>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</si>
  <si>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</si>
  <si>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</si>
  <si>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</si>
  <si>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</si>
  <si>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</si>
  <si>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</si>
  <si>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</si>
  <si>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</si>
  <si>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</si>
  <si>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</si>
  <si>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</si>
  <si>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</si>
  <si>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</si>
  <si>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</si>
  <si>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</si>
  <si>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</si>
  <si>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</si>
  <si>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</si>
  <si>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</si>
  <si>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</si>
  <si>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</si>
  <si>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</si>
  <si>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</si>
  <si>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</si>
  <si>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</si>
  <si>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</si>
  <si>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</si>
  <si>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</si>
  <si>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</si>
  <si>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</si>
  <si>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</si>
  <si>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</si>
  <si>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</si>
  <si>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</si>
  <si>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</si>
  <si>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</si>
  <si>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</si>
  <si>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</si>
  <si>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</si>
  <si>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</si>
  <si>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</si>
  <si>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</si>
  <si>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</si>
  <si>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</si>
  <si>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</si>
  <si>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</si>
  <si>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</si>
  <si>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</si>
  <si>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</si>
  <si>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</si>
  <si>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</si>
  <si>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</si>
  <si>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</si>
  <si>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</si>
  <si>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</si>
  <si>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</si>
  <si>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</si>
  <si>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</si>
  <si>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</si>
  <si>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</si>
  <si>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</si>
  <si>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</si>
  <si>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</si>
  <si>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</si>
  <si>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</si>
  <si>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</si>
  <si>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</si>
  <si>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</si>
  <si>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</si>
  <si>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</si>
  <si>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</si>
  <si>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</si>
  <si>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</si>
  <si>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</si>
  <si>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</si>
  <si>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</si>
  <si>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</si>
  <si>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</si>
  <si>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</si>
  <si>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</si>
  <si>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</si>
  <si>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</si>
  <si>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</si>
  <si>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</si>
  <si>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</si>
  <si>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</si>
  <si>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</si>
  <si>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</si>
  <si>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</si>
  <si>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</si>
  <si>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</si>
  <si>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</si>
  <si>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</si>
  <si>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</si>
  <si>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</si>
  <si>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</si>
  <si>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</si>
  <si>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</si>
  <si>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</si>
  <si>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</si>
  <si>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</si>
  <si>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</si>
  <si>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</si>
  <si>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</si>
  <si>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</si>
  <si>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</si>
  <si>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</si>
  <si>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</si>
  <si>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</si>
  <si>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</si>
  <si>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</si>
  <si>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</si>
  <si>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</si>
  <si>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</si>
  <si>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</si>
  <si>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</si>
  <si>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</si>
  <si>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</si>
  <si>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</si>
  <si>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</si>
  <si>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</si>
  <si>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</si>
  <si>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</si>
  <si>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</si>
  <si>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</si>
  <si>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</si>
  <si>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</si>
  <si>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</si>
  <si>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</si>
  <si>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</si>
  <si>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</si>
  <si>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</si>
  <si>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</si>
  <si>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</si>
  <si>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</si>
  <si>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</si>
  <si>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</si>
  <si>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</si>
  <si>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</si>
  <si>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</si>
  <si>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</si>
  <si>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</si>
  <si>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</si>
  <si>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</si>
  <si>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</si>
  <si>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</si>
  <si>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</si>
  <si>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</si>
  <si>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</si>
  <si>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</si>
  <si>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</si>
  <si>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</si>
  <si>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</si>
  <si>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</si>
  <si>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</si>
  <si>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</si>
  <si>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</si>
  <si>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</si>
  <si>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</si>
  <si>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</si>
  <si>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</si>
  <si>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</si>
  <si>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</si>
  <si>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</si>
  <si>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</si>
  <si>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</si>
  <si>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</si>
  <si>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</si>
  <si>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</si>
  <si>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</si>
  <si>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</si>
  <si>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</si>
  <si>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</si>
  <si>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</si>
  <si>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</si>
  <si>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</si>
  <si>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</si>
  <si>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</si>
  <si>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</si>
  <si>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</si>
  <si>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</si>
  <si>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</si>
  <si>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</si>
  <si>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</si>
  <si>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</si>
  <si>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</si>
  <si>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</si>
  <si>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</si>
  <si>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</si>
  <si>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</si>
  <si>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</si>
  <si>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</si>
  <si>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</si>
  <si>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</si>
  <si>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</si>
  <si>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</si>
  <si>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</si>
  <si>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</si>
  <si>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</si>
  <si>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</si>
  <si>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</si>
  <si>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</si>
  <si>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</si>
  <si>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</si>
  <si>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</si>
  <si>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</si>
  <si>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</si>
  <si>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</si>
  <si>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</si>
  <si>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</si>
  <si>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</si>
  <si>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</si>
  <si>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</si>
  <si>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</si>
  <si>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</si>
  <si>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</si>
  <si>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</si>
  <si>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</si>
  <si>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</si>
  <si>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</si>
  <si>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</si>
  <si>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</si>
  <si>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</si>
  <si>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</si>
  <si>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</si>
  <si>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</si>
  <si>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</si>
  <si>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</si>
  <si>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</si>
  <si>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</si>
  <si>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</si>
  <si>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</si>
  <si>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</si>
  <si>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</si>
  <si>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</si>
  <si>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</si>
  <si>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</si>
  <si>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</si>
  <si>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</si>
  <si>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</si>
  <si>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</si>
  <si>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</si>
  <si>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</si>
  <si>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</si>
  <si>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</si>
  <si>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</si>
  <si>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</si>
  <si>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</si>
  <si>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</si>
  <si>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</si>
  <si>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</si>
  <si>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</si>
  <si>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</si>
  <si>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</si>
  <si>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</si>
  <si>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</si>
  <si>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</si>
  <si>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</si>
  <si>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</si>
  <si>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</si>
  <si>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</si>
  <si>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</si>
  <si>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</si>
  <si>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</si>
  <si>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</si>
  <si>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</si>
  <si>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</si>
  <si>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</si>
  <si>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</si>
  <si>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</si>
  <si>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</si>
  <si>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</si>
  <si>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</si>
  <si>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</si>
  <si>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</si>
  <si>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</si>
  <si>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</si>
  <si>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</si>
  <si>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</si>
  <si>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</si>
  <si>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</si>
  <si>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</si>
  <si>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</si>
  <si>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</si>
  <si>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</si>
  <si>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</si>
  <si>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</si>
  <si>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</si>
  <si>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</si>
  <si>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</si>
  <si>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</si>
  <si>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</si>
  <si>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</si>
  <si>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</si>
  <si>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</si>
  <si>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</si>
  <si>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</si>
  <si>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</si>
  <si>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</si>
  <si>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</si>
  <si>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</si>
  <si>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</si>
  <si>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</si>
  <si>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</si>
  <si>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</si>
  <si>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</si>
  <si>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</si>
  <si>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</si>
  <si>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</si>
  <si>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</si>
  <si>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</si>
  <si>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</si>
  <si>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</si>
  <si>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</si>
  <si>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</si>
  <si>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</si>
  <si>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</si>
  <si>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</si>
  <si>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</si>
  <si>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</si>
  <si>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</si>
  <si>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</si>
  <si>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</si>
  <si>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</si>
  <si>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</si>
  <si>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</si>
  <si>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</si>
  <si>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</si>
  <si>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</si>
  <si>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</si>
  <si>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</si>
  <si>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</si>
  <si>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</si>
  <si>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</si>
  <si>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</si>
  <si>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</si>
  <si>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</si>
  <si>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</si>
  <si>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</si>
  <si>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</si>
  <si>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</si>
  <si>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</si>
  <si>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</si>
  <si>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</si>
  <si>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</si>
  <si>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</si>
  <si>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</si>
  <si>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</si>
  <si>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</si>
  <si>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</si>
  <si>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</si>
  <si>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</si>
  <si>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</si>
  <si>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</si>
  <si>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</si>
  <si>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</si>
  <si>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</si>
  <si>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</si>
  <si>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</si>
  <si>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</si>
  <si>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</si>
  <si>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</si>
  <si>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</si>
  <si>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</si>
  <si>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</si>
  <si>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</si>
  <si>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</si>
  <si>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</si>
  <si>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</si>
  <si>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</si>
  <si>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</si>
  <si>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</si>
  <si>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</si>
  <si>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</si>
  <si>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</si>
  <si>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</si>
  <si>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</si>
  <si>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</si>
  <si>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</si>
  <si>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</si>
  <si>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</si>
  <si>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</si>
  <si>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</si>
  <si>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</si>
  <si>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</si>
  <si>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</si>
  <si>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</si>
  <si>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</si>
  <si>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</si>
  <si>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</si>
  <si>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</si>
  <si>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</si>
  <si>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</si>
  <si>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</si>
  <si>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</si>
  <si>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</si>
  <si>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</si>
  <si>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</si>
  <si>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</si>
  <si>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</si>
  <si>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</si>
  <si>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</si>
  <si>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</si>
  <si>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</si>
  <si>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</si>
  <si>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</si>
  <si>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</si>
  <si>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</si>
  <si>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</si>
  <si>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</si>
  <si>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</si>
  <si>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</si>
  <si>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</si>
  <si>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</si>
  <si>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</si>
  <si>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</si>
  <si>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</si>
  <si>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</si>
  <si>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</si>
  <si>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</si>
  <si>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</si>
  <si>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</si>
  <si>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</si>
  <si>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</si>
  <si>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</si>
  <si>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</si>
  <si>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</si>
  <si>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</si>
  <si>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</si>
  <si>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</si>
  <si>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</si>
  <si>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</si>
  <si>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</si>
  <si>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</si>
  <si>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</si>
  <si>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</si>
  <si>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</si>
  <si>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</si>
  <si>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</si>
  <si>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</si>
  <si>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</si>
  <si>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</si>
  <si>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</si>
  <si>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</si>
  <si>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</si>
  <si>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</si>
  <si>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</si>
  <si>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</si>
  <si>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</si>
  <si>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</si>
  <si>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</si>
  <si>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</si>
  <si>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</si>
  <si>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</si>
  <si>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</si>
  <si>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</si>
  <si>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</si>
  <si>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</si>
  <si>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</si>
  <si>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</si>
  <si>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</si>
  <si>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</si>
  <si>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</si>
  <si>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</si>
  <si>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</si>
  <si>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</si>
  <si>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</si>
  <si>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</si>
  <si>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</si>
  <si>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</si>
  <si>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</si>
  <si>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</si>
  <si>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</si>
  <si>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</si>
  <si>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</si>
  <si>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</si>
  <si>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</si>
  <si>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</si>
  <si>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</si>
  <si>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</si>
  <si>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</si>
  <si>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</si>
  <si>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</si>
  <si>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</si>
  <si>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</si>
  <si>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</si>
  <si>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</si>
  <si>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</si>
  <si>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</si>
  <si>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</si>
  <si>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</si>
  <si>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</si>
  <si>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</si>
  <si>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</si>
  <si>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</si>
  <si>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</si>
  <si>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</si>
  <si>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</si>
  <si>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</si>
  <si>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</si>
  <si>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</si>
  <si>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</si>
  <si>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</si>
  <si>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</si>
  <si>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</si>
  <si>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</si>
  <si>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</si>
  <si>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</si>
  <si>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</si>
  <si>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</si>
  <si>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</si>
  <si>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</si>
  <si>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</si>
  <si>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</si>
  <si>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</si>
  <si>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</si>
  <si>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</si>
  <si>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</si>
  <si>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</si>
  <si>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</si>
  <si>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</si>
  <si>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</si>
  <si>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</si>
  <si>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</si>
  <si>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</si>
  <si>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</si>
  <si>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</si>
  <si>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</si>
  <si>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</si>
  <si>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</si>
  <si>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</si>
  <si>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</si>
  <si>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</si>
  <si>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</si>
  <si>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</si>
  <si>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</si>
  <si>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</si>
  <si>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</si>
  <si>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</si>
  <si>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</si>
  <si>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</si>
  <si>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</si>
  <si>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</si>
  <si>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</si>
  <si>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</si>
  <si>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</si>
  <si>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</si>
  <si>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</si>
  <si>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</si>
  <si>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</si>
  <si>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</si>
  <si>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</si>
  <si>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</si>
  <si>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</si>
  <si>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</si>
  <si>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</si>
  <si>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</si>
  <si>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</si>
  <si>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</si>
  <si>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</si>
  <si>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</si>
  <si>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</si>
  <si>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</si>
  <si>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</si>
  <si>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</si>
  <si>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</si>
  <si>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</si>
  <si>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</si>
  <si>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</si>
  <si>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</si>
  <si>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</si>
  <si>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</si>
  <si>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</si>
  <si>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</si>
  <si>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</si>
  <si>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</si>
  <si>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</si>
  <si>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</si>
  <si>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</si>
  <si>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</si>
  <si>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</si>
  <si>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</si>
  <si>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</si>
  <si>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</si>
  <si>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</si>
  <si>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</si>
  <si>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</si>
  <si>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</si>
  <si>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</si>
  <si>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</si>
  <si>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</si>
  <si>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</si>
  <si>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</si>
  <si>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</si>
  <si>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</si>
  <si>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</si>
  <si>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</si>
  <si>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</si>
  <si>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</si>
  <si>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</si>
  <si>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</si>
  <si>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</si>
  <si>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</si>
  <si>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</si>
  <si>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</si>
  <si>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</si>
  <si>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</si>
  <si>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</si>
  <si>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</si>
  <si>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</si>
  <si>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</si>
  <si>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</si>
  <si>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</si>
  <si>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</si>
  <si>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</si>
  <si>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</si>
  <si>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</si>
  <si>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</si>
  <si>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</si>
  <si>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</si>
  <si>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</si>
  <si>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</si>
  <si>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</si>
  <si>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</si>
  <si>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</si>
  <si>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</si>
  <si>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</si>
  <si>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</si>
  <si>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</si>
  <si>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</si>
  <si>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</si>
  <si>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</si>
  <si>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</si>
  <si>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</si>
  <si>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</si>
  <si>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</si>
  <si>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</si>
  <si>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</si>
  <si>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</si>
  <si>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</si>
  <si>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</si>
  <si>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</si>
  <si>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</si>
  <si>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</si>
  <si>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</si>
  <si>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</si>
  <si>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</si>
  <si>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</si>
  <si>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</si>
  <si>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</si>
  <si>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</si>
  <si>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</si>
  <si>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</si>
  <si>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</si>
  <si>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</si>
  <si>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</si>
  <si>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</si>
  <si>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</si>
  <si>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</si>
  <si>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</si>
  <si>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</si>
  <si>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</si>
  <si>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</si>
  <si>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</si>
  <si>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</si>
  <si>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</si>
  <si>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</si>
  <si>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</si>
  <si>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</si>
  <si>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</si>
  <si>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</si>
  <si>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</si>
  <si>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</si>
  <si>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</si>
  <si>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</si>
  <si>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</si>
  <si>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</si>
  <si>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</si>
  <si>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</si>
  <si>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</si>
  <si>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</si>
  <si>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</si>
  <si>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</si>
  <si>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</si>
  <si>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</si>
  <si>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</si>
  <si>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</si>
  <si>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</si>
  <si>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</si>
  <si>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</si>
  <si>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</si>
  <si>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</si>
  <si>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</si>
  <si>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</si>
  <si>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</si>
  <si>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</si>
  <si>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</si>
  <si>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</si>
  <si>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</si>
  <si>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</si>
  <si>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</si>
  <si>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</si>
  <si>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</si>
  <si>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</si>
  <si>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</si>
  <si>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</si>
  <si>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</si>
  <si>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</si>
  <si>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</si>
  <si>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</si>
  <si>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</si>
  <si>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</si>
  <si>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</si>
  <si>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</si>
  <si>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</si>
  <si>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</si>
  <si>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</si>
  <si>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</si>
  <si>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</si>
  <si>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</si>
  <si>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</si>
  <si>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</si>
  <si>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</si>
  <si>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</si>
  <si>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</si>
  <si>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</si>
  <si>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</si>
  <si>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</si>
  <si>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</si>
  <si>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</si>
  <si>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</si>
  <si>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</si>
  <si>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</si>
  <si>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</si>
  <si>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</si>
  <si>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</si>
  <si>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</si>
  <si>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</si>
  <si>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</si>
  <si>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</si>
  <si>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</si>
  <si>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</si>
  <si>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</si>
  <si>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</si>
  <si>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</si>
  <si>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</si>
  <si>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</si>
  <si>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</si>
  <si>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</si>
  <si>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</si>
  <si>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</si>
  <si>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</si>
  <si>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</si>
  <si>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</si>
  <si>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</si>
  <si>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</si>
  <si>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</si>
  <si>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</si>
  <si>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</si>
  <si>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</si>
  <si>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</si>
  <si>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</si>
  <si>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</si>
  <si>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</si>
  <si>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</si>
  <si>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</si>
  <si>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</si>
  <si>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</si>
  <si>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</si>
  <si>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</si>
  <si>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</si>
  <si>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</si>
  <si>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</si>
  <si>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</si>
  <si>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</si>
  <si>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</si>
  <si>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</si>
  <si>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</si>
  <si>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</si>
  <si>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</si>
  <si>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</si>
  <si>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</si>
  <si>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</si>
  <si>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</si>
  <si>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</si>
  <si>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</si>
  <si>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</si>
  <si>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</si>
  <si>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</si>
  <si>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</si>
  <si>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</si>
  <si>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</si>
  <si>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</si>
  <si>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</si>
  <si>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</si>
  <si>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</si>
  <si>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</si>
  <si>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</si>
  <si>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</si>
  <si>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</si>
  <si>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</si>
  <si>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</si>
  <si>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</si>
  <si>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</si>
  <si>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</si>
  <si>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</si>
  <si>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</si>
  <si>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</si>
  <si>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</si>
  <si>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</si>
  <si>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</si>
  <si>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</si>
  <si>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</si>
  <si>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</si>
  <si>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</si>
  <si>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</si>
  <si>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</si>
  <si>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</si>
  <si>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</si>
  <si>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</si>
  <si>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</si>
  <si>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</si>
  <si>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</si>
  <si>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</si>
  <si>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</si>
  <si>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</si>
  <si>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</si>
  <si>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</si>
  <si>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</si>
  <si>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</si>
  <si>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</si>
  <si>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</si>
  <si>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</si>
  <si>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</si>
  <si>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</si>
  <si>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</si>
  <si>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</si>
  <si>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</si>
  <si>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</si>
  <si>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</si>
  <si>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</si>
  <si>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</si>
  <si>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</si>
  <si>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</si>
  <si>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</si>
  <si>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</si>
  <si>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</si>
  <si>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</si>
  <si>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</si>
  <si>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</si>
  <si>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</si>
  <si>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</si>
  <si>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</si>
  <si>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</si>
  <si>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</si>
  <si>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</si>
  <si>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</si>
  <si>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</si>
  <si>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</si>
  <si>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</si>
  <si>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</si>
  <si>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</si>
  <si>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</si>
  <si>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</si>
  <si>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</si>
  <si>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</si>
  <si>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</si>
  <si>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</si>
  <si>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</si>
  <si>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</si>
  <si>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</si>
  <si>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</si>
  <si>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</si>
  <si>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</si>
  <si>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</si>
  <si>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</si>
  <si>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</si>
  <si>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</si>
  <si>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</si>
  <si>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</si>
  <si>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</si>
  <si>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</si>
  <si>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</si>
  <si>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</si>
  <si>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</si>
  <si>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</si>
  <si>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</si>
  <si>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</si>
  <si>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</si>
  <si>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</si>
  <si>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</si>
  <si>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</si>
  <si>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</si>
  <si>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</si>
  <si>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</si>
  <si>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</si>
  <si>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</si>
  <si>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</si>
  <si>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</si>
  <si>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</si>
  <si>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</si>
  <si>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</si>
  <si>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</si>
  <si>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</si>
  <si>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</si>
  <si>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</si>
  <si>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</si>
  <si>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</si>
  <si>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</si>
  <si>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</si>
  <si>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</si>
  <si>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</si>
  <si>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</si>
  <si>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</si>
  <si>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</si>
  <si>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</si>
  <si>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</si>
  <si>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</si>
  <si>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</si>
  <si>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</si>
  <si>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</si>
  <si>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</si>
  <si>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</si>
  <si>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</si>
  <si>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</si>
  <si>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</si>
  <si>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</si>
  <si>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</si>
  <si>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</si>
  <si>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</si>
  <si>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</si>
  <si>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</si>
  <si>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</si>
  <si>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</si>
  <si>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</si>
  <si>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</si>
  <si>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</si>
  <si>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</si>
  <si>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</si>
  <si>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</si>
  <si>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</si>
  <si>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</si>
  <si>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</si>
  <si>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</si>
  <si>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</si>
  <si>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</si>
  <si>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</si>
  <si>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</si>
  <si>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</si>
  <si>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</si>
  <si>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</si>
  <si>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</si>
  <si>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</si>
  <si>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</si>
  <si>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</si>
  <si>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</si>
  <si>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</si>
  <si>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</si>
  <si>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</si>
  <si>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</si>
  <si>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</si>
  <si>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</si>
  <si>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</si>
  <si>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</si>
  <si>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</si>
  <si>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</si>
  <si>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</si>
  <si>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</si>
  <si>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</si>
  <si>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</si>
  <si>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</si>
  <si>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</si>
  <si>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</si>
  <si>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</si>
  <si>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</si>
  <si>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</si>
  <si>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</si>
  <si>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</si>
  <si>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</si>
  <si>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</si>
  <si>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</si>
  <si>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</si>
  <si>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</si>
  <si>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</si>
  <si>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</si>
  <si>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</si>
  <si>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</si>
  <si>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</si>
  <si>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</si>
  <si>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</si>
  <si>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</si>
  <si>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</si>
  <si>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</si>
  <si>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</si>
  <si>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</si>
  <si>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</si>
  <si>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</si>
  <si>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</si>
  <si>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</si>
  <si>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</si>
  <si>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</si>
  <si>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</si>
  <si>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</si>
  <si>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</si>
  <si>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</si>
  <si>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</si>
  <si>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</si>
  <si>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</si>
  <si>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</si>
  <si>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</si>
  <si>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</si>
  <si>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</si>
  <si>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</si>
  <si>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</si>
  <si>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</si>
  <si>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</si>
  <si>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</si>
  <si>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</si>
  <si>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</si>
  <si>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</si>
  <si>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</si>
  <si>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</si>
  <si>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</si>
  <si>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</si>
  <si>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</si>
  <si>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</si>
  <si>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</si>
  <si>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</si>
  <si>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</si>
  <si>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</si>
  <si>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</si>
  <si>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</si>
  <si>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</si>
  <si>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</si>
  <si>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</si>
  <si>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</si>
  <si>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</si>
  <si>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</si>
  <si>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</si>
  <si>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</si>
  <si>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</si>
  <si>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</si>
  <si>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</si>
  <si>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</si>
  <si>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</si>
  <si>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</si>
  <si>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</si>
  <si>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</si>
  <si>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</si>
  <si>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</si>
  <si>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</si>
  <si>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</si>
  <si>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</si>
  <si>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</si>
  <si>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</si>
  <si>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</si>
  <si>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</si>
  <si>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</si>
  <si>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</si>
  <si>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</si>
  <si>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</si>
  <si>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</si>
  <si>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</si>
  <si>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</si>
  <si>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</si>
  <si>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</si>
  <si>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</si>
  <si>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</si>
  <si>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</si>
  <si>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</si>
  <si>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</si>
  <si>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</si>
  <si>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</si>
  <si>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</si>
  <si>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</si>
  <si>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</si>
  <si>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</si>
  <si>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</si>
  <si>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</si>
  <si>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</si>
  <si>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</si>
  <si>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</si>
  <si>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</si>
  <si>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</si>
  <si>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</si>
  <si>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</si>
  <si>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</si>
  <si>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</si>
  <si>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</si>
  <si>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</si>
  <si>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</si>
  <si>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</si>
  <si>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</si>
  <si>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</si>
  <si>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</si>
  <si>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</si>
  <si>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</si>
  <si>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</si>
  <si>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</si>
  <si>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</si>
  <si>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</si>
  <si>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</si>
  <si>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</si>
  <si>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</si>
  <si>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</si>
  <si>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</si>
  <si>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</si>
  <si>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</si>
  <si>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</si>
  <si>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</si>
  <si>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</si>
  <si>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</si>
  <si>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</si>
  <si>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</si>
  <si>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</si>
  <si>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</si>
  <si>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</si>
  <si>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</si>
  <si>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</si>
  <si>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</si>
  <si>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</si>
  <si>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</si>
  <si>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</si>
  <si>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</si>
  <si>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</si>
  <si>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</si>
  <si>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</si>
  <si>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</si>
  <si>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</si>
  <si>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</si>
  <si>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</si>
  <si>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</si>
  <si>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</si>
  <si>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</si>
  <si>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</si>
  <si>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</si>
  <si>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</si>
  <si>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</si>
  <si>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</si>
  <si>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</si>
  <si>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</si>
  <si>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</si>
  <si>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</si>
  <si>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</si>
  <si>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</si>
  <si>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</si>
  <si>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</si>
  <si>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</si>
  <si>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</si>
  <si>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</si>
  <si>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</si>
  <si>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</si>
  <si>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</si>
  <si>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</si>
  <si>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</si>
  <si>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</si>
  <si>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</si>
  <si>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</si>
  <si>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</si>
  <si>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</si>
  <si>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</si>
  <si>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</si>
  <si>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</si>
  <si>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</si>
  <si>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</si>
  <si>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</si>
  <si>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</si>
  <si>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</si>
  <si>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</si>
  <si>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</si>
  <si>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</si>
  <si>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</si>
  <si>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</si>
  <si>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</si>
  <si>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</si>
  <si>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</si>
  <si>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</si>
  <si>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</si>
  <si>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</si>
  <si>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</si>
  <si>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</si>
  <si>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</si>
  <si>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</si>
  <si>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</si>
  <si>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</si>
  <si>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</si>
  <si>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</si>
  <si>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</si>
  <si>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</si>
  <si>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</si>
  <si>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</si>
  <si>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</si>
  <si>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</si>
  <si>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</si>
  <si>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</si>
  <si>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</si>
  <si>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</si>
  <si>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</si>
  <si>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</si>
  <si>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</si>
  <si>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</si>
  <si>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</si>
  <si>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</si>
  <si>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</si>
  <si>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</si>
  <si>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</si>
  <si>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</si>
  <si>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</si>
  <si>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</si>
  <si>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</si>
  <si>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</si>
  <si>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</si>
  <si>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</si>
  <si>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</si>
  <si>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</si>
  <si>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</si>
  <si>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</si>
  <si>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</si>
  <si>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</si>
  <si>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</si>
  <si>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</si>
  <si>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</si>
  <si>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</si>
  <si>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</si>
  <si>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</si>
  <si>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</si>
  <si>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</si>
  <si>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</si>
  <si>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</si>
  <si>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</si>
  <si>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</si>
  <si>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</si>
  <si>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</si>
  <si>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</si>
  <si>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</si>
  <si>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</si>
  <si>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</si>
  <si>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</si>
  <si>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</si>
  <si>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</si>
  <si>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</si>
  <si>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</si>
  <si>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</si>
  <si>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</si>
  <si>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</si>
  <si>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</si>
  <si>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</si>
  <si>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</si>
  <si>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</si>
  <si>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</si>
  <si>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</si>
  <si>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</si>
  <si>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</si>
  <si>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</si>
  <si>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</si>
  <si>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</si>
  <si>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</si>
  <si>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</si>
  <si>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</si>
  <si>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</si>
  <si>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</si>
  <si>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</si>
  <si>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</si>
  <si>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</si>
  <si>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</si>
  <si>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</si>
  <si>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</si>
  <si>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</si>
  <si>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</si>
  <si>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</si>
  <si>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</si>
  <si>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</si>
  <si>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</si>
  <si>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</si>
  <si>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</si>
  <si>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</si>
  <si>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</si>
  <si>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</si>
  <si>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</si>
  <si>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</si>
  <si>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</si>
  <si>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</si>
  <si>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</si>
  <si>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</si>
  <si>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</si>
  <si>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</si>
  <si>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</si>
  <si>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</si>
  <si>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</si>
  <si>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</si>
  <si>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</si>
  <si>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</si>
  <si>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</si>
  <si>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</si>
  <si>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</si>
  <si>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</si>
  <si>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</si>
  <si>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</si>
  <si>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</si>
  <si>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</si>
  <si>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</si>
  <si>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</si>
  <si>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</si>
  <si>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</si>
  <si>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</si>
  <si>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</si>
  <si>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</si>
  <si>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</si>
  <si>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</si>
  <si>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</si>
  <si>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</si>
  <si>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</si>
  <si>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</si>
  <si>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</si>
  <si>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</si>
  <si>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</si>
  <si>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</si>
  <si>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</si>
  <si>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</si>
  <si>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</si>
  <si>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</si>
  <si>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</si>
  <si>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</si>
  <si>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</si>
  <si>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</si>
  <si>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</si>
  <si>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</si>
  <si>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</si>
  <si>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</si>
  <si>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</si>
  <si>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</si>
  <si>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</si>
  <si>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</si>
  <si>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</si>
  <si>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</si>
  <si>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</si>
  <si>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</si>
  <si>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</si>
  <si>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</si>
  <si>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</si>
  <si>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</si>
  <si>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</si>
  <si>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</si>
  <si>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</si>
  <si>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</si>
  <si>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</si>
  <si>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</si>
  <si>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</si>
  <si>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</si>
  <si>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</si>
  <si>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</si>
  <si>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</si>
  <si>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</si>
  <si>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</si>
  <si>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</si>
  <si>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</si>
  <si>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</si>
  <si>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</si>
  <si>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</si>
  <si>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</si>
  <si>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</si>
  <si>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</si>
  <si>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</si>
  <si>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</si>
  <si>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</si>
  <si>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</si>
  <si>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</si>
  <si>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</si>
  <si>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</si>
  <si>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</si>
  <si>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</si>
  <si>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</si>
  <si>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</si>
  <si>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</si>
  <si>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</si>
  <si>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</si>
  <si>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</si>
  <si>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</si>
  <si>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</si>
  <si>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</si>
  <si>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</si>
  <si>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</si>
  <si>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</si>
  <si>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</si>
  <si>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</si>
  <si>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</si>
  <si>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</si>
  <si>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</si>
  <si>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</si>
  <si>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</si>
  <si>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</si>
  <si>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</si>
  <si>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</si>
  <si>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</si>
  <si>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</si>
  <si>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</si>
  <si>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</si>
  <si>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</si>
  <si>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</si>
  <si>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</si>
  <si>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</si>
  <si>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</si>
  <si>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</si>
  <si>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</si>
  <si>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</si>
  <si>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</si>
  <si>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</si>
  <si>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</si>
  <si>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</si>
  <si>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</si>
  <si>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</si>
  <si>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</si>
  <si>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</si>
  <si>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</si>
  <si>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</si>
  <si>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</si>
  <si>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</si>
  <si>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</si>
  <si>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</si>
  <si>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</si>
  <si>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</si>
  <si>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</si>
  <si>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</si>
  <si>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</si>
  <si>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</si>
  <si>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</si>
  <si>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</si>
  <si>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</si>
  <si>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</si>
  <si>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</si>
  <si>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</si>
  <si>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</si>
  <si>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</si>
  <si>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</si>
  <si>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</si>
  <si>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</si>
  <si>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</si>
  <si>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</si>
  <si>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</si>
  <si>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</si>
  <si>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</si>
  <si>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</si>
  <si>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</si>
  <si>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</si>
  <si>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</si>
  <si>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</si>
  <si>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</si>
  <si>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</si>
  <si>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</si>
  <si>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</si>
  <si>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</si>
  <si>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</si>
  <si>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</si>
  <si>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</si>
  <si>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</si>
  <si>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</si>
  <si>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</si>
  <si>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</si>
  <si>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</si>
  <si>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</si>
  <si>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</si>
  <si>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</si>
  <si>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</si>
  <si>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</si>
  <si>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</si>
  <si>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</si>
  <si>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</si>
  <si>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</si>
  <si>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</si>
  <si>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</si>
  <si>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</si>
  <si>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</si>
  <si>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</si>
  <si>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</si>
  <si>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</si>
  <si>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</si>
  <si>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</si>
  <si>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</si>
  <si>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</si>
  <si>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</si>
  <si>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</si>
  <si>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</si>
  <si>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</si>
  <si>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</si>
  <si>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</si>
  <si>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</si>
  <si>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</si>
  <si>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</si>
  <si>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</si>
  <si>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</si>
  <si>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</si>
  <si>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</si>
  <si>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</si>
  <si>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</si>
  <si>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</si>
  <si>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</si>
  <si>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</si>
  <si>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</si>
  <si>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通路</t>
  </si>
  <si>
    <t>通电</t>
  </si>
  <si>
    <t>通讯</t>
  </si>
  <si>
    <t>通上水</t>
  </si>
  <si>
    <t>通下水</t>
  </si>
  <si>
    <t>是</t>
  </si>
  <si>
    <t>钢</t>
  </si>
  <si>
    <t>容积率修正</t>
  </si>
  <si>
    <t>地价指数</t>
  </si>
  <si>
    <t>非生产用房</t>
  </si>
  <si>
    <t>工程进度</t>
  </si>
  <si>
    <t>联排</t>
  </si>
  <si>
    <t>洋房</t>
  </si>
  <si>
    <t>配套</t>
  </si>
  <si>
    <t>设备</t>
  </si>
  <si>
    <t>地上小计</t>
  </si>
  <si>
    <t>车库</t>
  </si>
  <si>
    <t>地下小计</t>
  </si>
  <si>
    <t>地上</t>
  </si>
  <si>
    <t>住宅</t>
  </si>
  <si>
    <t>地块名称</t>
  </si>
  <si>
    <t>城市</t>
  </si>
  <si>
    <t>用地性质</t>
  </si>
  <si>
    <t>出让方式</t>
  </si>
  <si>
    <t>建设用地面积(㎡)</t>
  </si>
  <si>
    <t>规划建筑面积(㎡)</t>
  </si>
  <si>
    <t>容积率</t>
  </si>
  <si>
    <t>成交日期</t>
  </si>
  <si>
    <t>受让单位</t>
  </si>
  <si>
    <t>起始价(万元)</t>
  </si>
  <si>
    <t>成交价(万元)</t>
  </si>
  <si>
    <t>成交楼面价(元/㎡)</t>
  </si>
  <si>
    <t>溢价率</t>
  </si>
  <si>
    <t>土地星级</t>
  </si>
  <si>
    <t>北京市密云区溪翁庄MY02-0201-6001地块(原圆明三园C地块)R2二类居住用地</t>
  </si>
  <si>
    <t>北京市</t>
  </si>
  <si>
    <t>住宅用地</t>
  </si>
  <si>
    <t>挂牌</t>
  </si>
  <si>
    <t>2019-02-01</t>
  </si>
  <si>
    <t>曲水鹏盛天创业投资管理有限公司</t>
  </si>
  <si>
    <t>1星</t>
  </si>
  <si>
    <t>北京市密云区李各庄路0602、0603地块二类居住及基础教育用地</t>
  </si>
  <si>
    <t>综合用地(含住宅)</t>
  </si>
  <si>
    <t>2019-01-17</t>
  </si>
  <si>
    <t>北京隽成房地产开发有限公司</t>
  </si>
  <si>
    <t>3星</t>
  </si>
  <si>
    <t>北京市密云区密云新城0102街区MY00-0102-6014地块R2二类居住用地</t>
  </si>
  <si>
    <t>2018-11-26</t>
  </si>
  <si>
    <t>北京檀营鑫房地产开发有限公司</t>
  </si>
  <si>
    <t>北京市密云区檀营乡MY00-0103-6002地块R2二类居住用地</t>
  </si>
  <si>
    <t>2018-01-04</t>
  </si>
  <si>
    <t>北京京投置地房地产有限公司</t>
  </si>
  <si>
    <t>密云区密云新城0102街区MY00-0102-6002地块(原上好家园)</t>
  </si>
  <si>
    <t>2017-05-03</t>
  </si>
  <si>
    <t>北京顺碧投资有限公司</t>
  </si>
  <si>
    <t>密云区檀营乡MY00-0103-0402、MY00-0103-0502等地块</t>
  </si>
  <si>
    <t>2017-03-28</t>
  </si>
  <si>
    <t>北京宝驰通置业有限公司</t>
  </si>
  <si>
    <t>密云区长安新村和南菜园新村旧城改建棚户区改造项目</t>
  </si>
  <si>
    <t>招标</t>
  </si>
  <si>
    <t>2017-01-13</t>
  </si>
  <si>
    <t>北京绿州博园投资有限公司</t>
  </si>
  <si>
    <t>密云县密云镇密云新城0102街区MY00-0102-6021、6022、6023、6024地块</t>
  </si>
  <si>
    <t>2015-11-18</t>
  </si>
  <si>
    <t>北京中瑞凯华投资管理有限公司</t>
  </si>
  <si>
    <t>密云县十里堡镇双井村北侧MY00-0204-L002、6006、L001地块</t>
  </si>
  <si>
    <t>2015-05-05</t>
  </si>
  <si>
    <t>北京通润博园房地产开发有限公司</t>
  </si>
  <si>
    <t>密云县水源路南侧土地储备项目A-2地块F2公建混合住宅用地、F3其它类多功能用地、R53托幼用地项目(配建“自住型商品住房”)</t>
  </si>
  <si>
    <t>2013-11-21</t>
  </si>
  <si>
    <t>绿地控股集团有限公司</t>
  </si>
  <si>
    <t>密云县新城0202街区0901、0902、0903地块二类居住、文化娱乐、社会停车场用地项目(配建限价商品住房)</t>
  </si>
  <si>
    <t>2013-02-28</t>
  </si>
  <si>
    <t>北京市华远置业有限公司</t>
  </si>
  <si>
    <t>密云县溪翁庄镇京密引水渠调节池东侧A-01、B-01地块二类居住、休疗养用地项目</t>
  </si>
  <si>
    <t>2013-02-04</t>
  </si>
  <si>
    <t>中投发展有限责任公司</t>
  </si>
  <si>
    <t>密云县溪翁庄镇京密引水渠调节池东侧A-02、B-02、B-03、B-04地块二类居住、旅游业、托幼用地项目</t>
  </si>
  <si>
    <t>2013-02-01</t>
  </si>
  <si>
    <t>密云县水源路南侧土地储备项目A-1地块二类居住、商业金融用地项目</t>
  </si>
  <si>
    <t>2012-11-29</t>
  </si>
  <si>
    <t>北京华润曙光房地产开发有限公司</t>
  </si>
  <si>
    <t>北京市密云县观光塔住宅小区0702、1001地块二类居住用地项目</t>
  </si>
  <si>
    <t>2011-12-14</t>
  </si>
  <si>
    <t>北京城建兴云房地产有限公司</t>
  </si>
  <si>
    <t>北京市怀柔区怀柔新城07街区(杨宋镇凤翔一园10号)HR00-0007-6006地块R2二类居住用地</t>
  </si>
  <si>
    <t>≤2.2</t>
  </si>
  <si>
    <t>2019-09-23</t>
  </si>
  <si>
    <t>北京怀胜城市建设开发有限公司和北京怀胜青春广场置业有限公司联合体</t>
  </si>
  <si>
    <t>2星</t>
  </si>
  <si>
    <t>北京市怀柔区怀柔新城03街区HR00-0003-6004等地块A33基础教育用地、R2二类居住用地、F1住宅混合公建用地、F3其他类多功能用地</t>
  </si>
  <si>
    <t>≤2.05</t>
  </si>
  <si>
    <t>2019-06-21</t>
  </si>
  <si>
    <t>北京城建投资发展股份有限公司和北京怀胜城市建设开发有限公司联合体</t>
  </si>
  <si>
    <t>4星</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</si>
  <si>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</si>
  <si>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</si>
  <si>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</si>
  <si>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</si>
  <si>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</si>
  <si>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</si>
  <si>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</si>
  <si>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2018-01-18</t>
  </si>
  <si>
    <t>北京京粮置业有限公司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</si>
  <si>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</si>
  <si>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</si>
  <si>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</si>
  <si>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</si>
  <si>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</si>
  <si>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</si>
  <si>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</si>
  <si>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</si>
  <si>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怀柔区迎宾路西侧HR-0002-54地块R2二类居住用地(杨家园住宅小区一级开发项目)</t>
  </si>
  <si>
    <t>2013-08-22</t>
  </si>
  <si>
    <t>北京万通正远置业有限公司</t>
  </si>
  <si>
    <t>怀柔区雁栖湖柏崖厂村HR-0009-0113等地块二类居住、旅游设施、社会停车场库、供应设施、交通设施及行政办公用地</t>
  </si>
  <si>
    <t>北京北控置业有限责任公司和北京京地咨询有限责任公司联合体</t>
  </si>
  <si>
    <t>北京市怀柔区怀柔镇新贤街村2-X01、2-X04地块居住用地及托幼用地项目</t>
  </si>
  <si>
    <t>2011-11-17</t>
  </si>
  <si>
    <t>北京北控城市开发有限公司</t>
  </si>
  <si>
    <t>怀柔区杨宋镇文化娱乐、商业金融及居住项目用地(配建租赁房)(保障性用地)</t>
  </si>
  <si>
    <t>2011-01-24</t>
  </si>
  <si>
    <t>北京金第房地产开发有限责任公司</t>
  </si>
  <si>
    <t>怀柔区北房镇驸马庄村限价商品住房项目用地国有建设用地(保障性用地)</t>
  </si>
  <si>
    <t>2010-12-30</t>
  </si>
  <si>
    <t>北京金泰兴业房地产开发有限责任公司</t>
  </si>
  <si>
    <t>怀柔区庙城镇居住项目用地(庙彩A地块)</t>
  </si>
  <si>
    <t>2010-08-18</t>
  </si>
  <si>
    <t>北京万通地产股份有限公司</t>
  </si>
  <si>
    <t>怀柔区杨宋镇居住及商业金融(影人酒店及住宅)项目</t>
  </si>
  <si>
    <t>2009-07-10</t>
  </si>
  <si>
    <t>北京亿来置业有限公司</t>
  </si>
  <si>
    <t>汇莲馨苑</t>
  </si>
  <si>
    <t>一期平墅</t>
  </si>
  <si>
    <t>抵押</t>
  </si>
  <si>
    <t>房地产抵押价值</t>
  </si>
  <si>
    <t>其他：</t>
  </si>
  <si>
    <t>企业</t>
  </si>
  <si>
    <t>出让</t>
  </si>
  <si>
    <t>成本法</t>
  </si>
  <si>
    <t>假设开发法</t>
  </si>
  <si>
    <t>已包含在土地取得成本中</t>
  </si>
  <si>
    <t>截止日期</t>
  </si>
  <si>
    <t>东丽区东丽湖星灿道以南,东丽湖路以西</t>
  </si>
  <si>
    <t>天津市</t>
  </si>
  <si>
    <t>a地块≤1.2;b地块≤1.2;c地块≤0.8</t>
  </si>
  <si>
    <t>2019-09-26</t>
  </si>
  <si>
    <t>中建信和地产有限公司</t>
  </si>
  <si>
    <t>东丽区富安路以西,霞宏道以南</t>
  </si>
  <si>
    <t>a地块≤1.8;b地块≤1.6;c地块≤1.0;d地块≤2.4;e地块≤2.0;f地块≤2.0</t>
  </si>
  <si>
    <t>2019-08-14</t>
  </si>
  <si>
    <t>北京中建地产有限责任公司</t>
  </si>
  <si>
    <t>5星</t>
  </si>
  <si>
    <t>东丽区利津路与津塘公路交口西南侧</t>
  </si>
  <si>
    <t>2019-07-05</t>
  </si>
  <si>
    <t>天津市东丽城市基础设施投资集团有限公司</t>
  </si>
  <si>
    <r>
      <t>5</t>
    </r>
    <r>
      <rPr>
        <sz val="10"/>
        <rFont val="宋体"/>
        <family val="3"/>
        <charset val="134"/>
      </rPr>
      <t>星</t>
    </r>
    <phoneticPr fontId="3" type="noConversion"/>
  </si>
  <si>
    <t>东丽区龙廷路与霞宏道交口</t>
  </si>
  <si>
    <t>住宅用地</t>
    <phoneticPr fontId="143" type="noConversion"/>
  </si>
  <si>
    <t>≤2.0</t>
  </si>
  <si>
    <t>2019-06-19</t>
  </si>
  <si>
    <t>甘肃建总置业发展有限公司</t>
  </si>
  <si>
    <t>东丽区津塘公路南侧,富安路西侧</t>
  </si>
  <si>
    <t>a地块≤1.7;b地块≤2.42;c地块/</t>
  </si>
  <si>
    <t>2019-05-22</t>
  </si>
  <si>
    <t>天津融泰房地产开发有限公司</t>
  </si>
  <si>
    <t>东丽区新立示范镇津塘公路南侧,航双路东侧</t>
  </si>
  <si>
    <t>a地块≤1.7;b地块≤2.66</t>
  </si>
  <si>
    <t>天津鑫胜房地产信息咨询有限公司</t>
  </si>
  <si>
    <t>东丽区军粮城示范镇军粮城大街以西,北旺道以南</t>
  </si>
  <si>
    <t>a(公园绿地)/;b(城镇住宅、商服用地)&amp;amp;#160;≤1.5且＞1.0</t>
  </si>
  <si>
    <t>2019-03-21</t>
  </si>
  <si>
    <t>天津新城悦盛房地产开发有限公司</t>
  </si>
  <si>
    <t>东丽区军粮城示范镇富锦路以西,北旺道以南</t>
  </si>
  <si>
    <t>a地(商服用地)≤1.25;b地(城镇住宅、商服用地)≤1.4且＞1.0;c地(教育用地)≤0.83</t>
  </si>
  <si>
    <t>北京实地趋势房地产开发有限公司</t>
  </si>
  <si>
    <t>东丽区金钟街规划诚盛道以南、思源东路以东</t>
  </si>
  <si>
    <t>≤1.5</t>
  </si>
  <si>
    <t>2019-01-09</t>
  </si>
  <si>
    <t>山东中建房地产开发有限公司</t>
  </si>
  <si>
    <t>东丽区金钟公路与祝捷路交口西北侧</t>
  </si>
  <si>
    <t>二类居住用地(b用地)≤2.0;服务设施用地(c用地)≤0.67;商业服务业设施用地(a用地)≤2.0</t>
  </si>
  <si>
    <t>2018-08-22</t>
  </si>
  <si>
    <t>天津金隅津丽房地产开发有限公司</t>
  </si>
  <si>
    <t>东丽区程新道与迭山路交口东南侧</t>
    <phoneticPr fontId="143" type="noConversion"/>
  </si>
  <si>
    <t>二类居住用地≤2.0;服务设施用地≤0.8</t>
  </si>
  <si>
    <t>2018-06-29</t>
  </si>
  <si>
    <t>万科(天津万锦华瑞房地产开发有限公司)</t>
  </si>
  <si>
    <t>东丽区东丽湖东丽大道以北,丽桐路以西</t>
  </si>
  <si>
    <t>a地块≤1.5;b地块≤0.9;c地块≤0.7;d地块≤1.1且＞1.0</t>
  </si>
  <si>
    <t>2018-05-11</t>
  </si>
  <si>
    <t>金融街(天津融承和信投资有限公司)</t>
  </si>
  <si>
    <t>a地块≤1.2;b地块≤1.0;c地块≤1.0</t>
  </si>
  <si>
    <t>2018-04-13</t>
  </si>
  <si>
    <t>海尔</t>
  </si>
  <si>
    <t>东丽区东丽湖智景东道以南、东丽湖路以西</t>
  </si>
  <si>
    <t>＞1.0且≤1.2</t>
  </si>
  <si>
    <t>2017-11-29</t>
  </si>
  <si>
    <t>金融街(*天津融承和鑫企业管理咨询有限公司)</t>
  </si>
  <si>
    <t>东丽区东丽湖星灿道以北、光艳路以西</t>
  </si>
  <si>
    <t>城镇住宅用地＞1.0且≤1.1;科教用地≤0.7</t>
  </si>
  <si>
    <t>东丽区程新道南侧、迭山路西侧</t>
  </si>
  <si>
    <t>不大于2.0</t>
  </si>
  <si>
    <t>2017-07-31</t>
  </si>
  <si>
    <t>金茂(武汉化资企业管理咨询有限公司)</t>
  </si>
  <si>
    <t>东丽区津滨大道与雪山路交口东北侧</t>
  </si>
  <si>
    <t>c1≤1.7;c2≤2.9</t>
  </si>
  <si>
    <t>2017-07-21</t>
  </si>
  <si>
    <t>金茂</t>
  </si>
  <si>
    <t>东丽区津滨大道与沙柳路交口西北侧</t>
    <phoneticPr fontId="143" type="noConversion"/>
  </si>
  <si>
    <t>a1≤2.5</t>
  </si>
  <si>
    <t>天津海景实业有限公司</t>
  </si>
  <si>
    <t>东丽区津滨大道与沙柳路交口东北侧</t>
  </si>
  <si>
    <t>b1地块≤2.0(含商业服务网点建筑面积不小于900平方米),b3地块≤4.0</t>
  </si>
  <si>
    <t>2016-08-24</t>
  </si>
  <si>
    <t>天津融创元浩置业有限公司</t>
  </si>
  <si>
    <t>东丽区津滨大道与雪山路交口西北侧</t>
  </si>
  <si>
    <t>b2地块≤2.3(含商业服务网点建筑面积不小于1001平方米),b4地块≤2.9</t>
  </si>
  <si>
    <t>东至跃进北路,南至惠山道,西至贵莲路,北至津滨大道</t>
  </si>
  <si>
    <t>a:不大于2.0、b:不大于1.6、c:不大于2.0、e:不大于1.9、f:不大于1.7、g:不大于1.8、h:不大于1.9、i:不大于1.8、j:不大于1.8、k1:2不大于2.0、k2:不大于3.0、l:不大于2.0、m:不大于0.6</t>
  </si>
  <si>
    <t>2015-12-30</t>
  </si>
  <si>
    <t>天津腾耀置业有限公司</t>
  </si>
  <si>
    <t>东丽区迭山路与程州道交口西南侧</t>
  </si>
  <si>
    <t>≤2</t>
  </si>
  <si>
    <t>2015-10-28</t>
  </si>
  <si>
    <t>天津万科民和巷有限公司</t>
  </si>
  <si>
    <t>时间</t>
    <phoneticPr fontId="143" type="noConversion"/>
  </si>
  <si>
    <t>商业地价水平</t>
    <phoneticPr fontId="143" type="noConversion"/>
  </si>
  <si>
    <t>住宅地价水平</t>
    <phoneticPr fontId="143" type="noConversion"/>
  </si>
  <si>
    <t>2017年4季度</t>
    <phoneticPr fontId="143" type="noConversion"/>
  </si>
  <si>
    <t>2018年1季度</t>
    <phoneticPr fontId="143" type="noConversion"/>
  </si>
  <si>
    <t>价值</t>
    <phoneticPr fontId="143" type="noConversion"/>
  </si>
  <si>
    <t>差异</t>
    <phoneticPr fontId="143" type="noConversion"/>
  </si>
  <si>
    <t>权重</t>
    <phoneticPr fontId="143" type="noConversion"/>
  </si>
  <si>
    <t>评估总值</t>
    <phoneticPr fontId="143" type="noConversion"/>
  </si>
  <si>
    <t>2018年2季度</t>
    <phoneticPr fontId="143" type="noConversion"/>
  </si>
  <si>
    <t>市场</t>
    <phoneticPr fontId="143" type="noConversion"/>
  </si>
  <si>
    <t>2018年3季度</t>
    <phoneticPr fontId="143" type="noConversion"/>
  </si>
  <si>
    <t>剩余</t>
    <phoneticPr fontId="143" type="noConversion"/>
  </si>
  <si>
    <t>2018年4季度</t>
    <phoneticPr fontId="143" type="noConversion"/>
  </si>
  <si>
    <t>2019年1季度</t>
    <phoneticPr fontId="143" type="noConversion"/>
  </si>
  <si>
    <t>2019年2季度</t>
    <phoneticPr fontId="143" type="noConversion"/>
  </si>
  <si>
    <t>2019年3季度</t>
    <phoneticPr fontId="143" type="noConversion"/>
  </si>
  <si>
    <t>综合</t>
    <phoneticPr fontId="143" type="noConversion"/>
  </si>
  <si>
    <t>城镇住宅</t>
    <phoneticPr fontId="3" type="noConversion"/>
  </si>
  <si>
    <t>综合（含住宅）</t>
    <phoneticPr fontId="3" type="noConversion"/>
  </si>
  <si>
    <t>无</t>
    <phoneticPr fontId="31" type="noConversion"/>
  </si>
  <si>
    <t>有</t>
    <phoneticPr fontId="31"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</si>
  <si>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</si>
  <si>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</si>
  <si>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</si>
  <si>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</si>
  <si>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</si>
  <si>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</si>
  <si>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</si>
  <si>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</si>
  <si>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</si>
  <si>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</si>
  <si>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</si>
  <si>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</si>
  <si>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</si>
  <si>
    <t>较好</t>
    <phoneticPr fontId="31" type="noConversion"/>
  </si>
  <si>
    <t>郑燚</t>
  </si>
  <si>
    <t>王鹏</t>
  </si>
  <si>
    <t>中信信托</t>
    <phoneticPr fontId="6" type="noConversion"/>
  </si>
  <si>
    <r>
      <rPr>
        <sz val="12"/>
        <rFont val="宋体"/>
        <family val="3"/>
        <charset val="134"/>
      </rPr>
      <t>东丽区融创融园</t>
    </r>
    <r>
      <rPr>
        <sz val="12"/>
        <rFont val="Arial"/>
        <family val="2"/>
      </rPr>
      <t>B1</t>
    </r>
    <phoneticPr fontId="6" type="noConversion"/>
  </si>
  <si>
    <t>挂牌编号</t>
  </si>
  <si>
    <t>地块简称</t>
  </si>
  <si>
    <t>土地面积（㎡）</t>
  </si>
  <si>
    <t>计容建筑面积（㎡）</t>
  </si>
  <si>
    <t>成交价（万元）</t>
  </si>
  <si>
    <r>
      <t>楼面价（元</t>
    </r>
    <r>
      <rPr>
        <sz val="9"/>
        <color theme="1"/>
        <rFont val="Arial"/>
        <family val="2"/>
      </rPr>
      <t>/</t>
    </r>
    <r>
      <rPr>
        <sz val="9"/>
        <color theme="1"/>
        <rFont val="仿宋"/>
        <family val="3"/>
        <charset val="134"/>
      </rPr>
      <t>㎡）</t>
    </r>
  </si>
  <si>
    <r>
      <t>2016-104</t>
    </r>
    <r>
      <rPr>
        <sz val="9"/>
        <color theme="1"/>
        <rFont val="仿宋"/>
        <family val="3"/>
        <charset val="134"/>
      </rPr>
      <t>号（博元）</t>
    </r>
  </si>
  <si>
    <t>B2</t>
  </si>
  <si>
    <t>B4</t>
  </si>
  <si>
    <r>
      <t>2016-105</t>
    </r>
    <r>
      <rPr>
        <sz val="9"/>
        <color theme="1"/>
        <rFont val="仿宋"/>
        <family val="3"/>
        <charset val="134"/>
      </rPr>
      <t>号（晟元）</t>
    </r>
  </si>
  <si>
    <t>B1</t>
  </si>
  <si>
    <t>B3</t>
  </si>
  <si>
    <r>
      <t>B</t>
    </r>
    <r>
      <rPr>
        <sz val="11"/>
        <color theme="1"/>
        <rFont val="宋体"/>
        <family val="3"/>
        <charset val="134"/>
        <scheme val="minor"/>
      </rPr>
      <t>1</t>
    </r>
    <phoneticPr fontId="143" type="noConversion"/>
  </si>
  <si>
    <t>地块位置</t>
    <phoneticPr fontId="143" type="noConversion"/>
  </si>
  <si>
    <t>建筑面积</t>
    <phoneticPr fontId="143" type="noConversion"/>
  </si>
  <si>
    <t>楼面单价</t>
    <phoneticPr fontId="143" type="noConversion"/>
  </si>
  <si>
    <t>需求总价</t>
    <phoneticPr fontId="143" type="noConversion"/>
  </si>
  <si>
    <t>评估值</t>
    <phoneticPr fontId="143" type="noConversion"/>
  </si>
  <si>
    <t>土地面积</t>
    <phoneticPr fontId="143" type="noConversion"/>
  </si>
  <si>
    <t>B1</t>
    <phoneticPr fontId="143" type="noConversion"/>
  </si>
  <si>
    <t>B2</t>
    <phoneticPr fontId="143" type="noConversion"/>
  </si>
  <si>
    <t>住宅</t>
    <phoneticPr fontId="143" type="noConversion"/>
  </si>
  <si>
    <t>土地终止日期</t>
    <phoneticPr fontId="143" type="noConversion"/>
  </si>
  <si>
    <t>B3</t>
    <phoneticPr fontId="143" type="noConversion"/>
  </si>
  <si>
    <t>B4</t>
    <phoneticPr fontId="143" type="noConversion"/>
  </si>
  <si>
    <t>商业</t>
    <phoneticPr fontId="143" type="noConversion"/>
  </si>
  <si>
    <t>汇莲馨苑1-15#(B1规证)</t>
    <phoneticPr fontId="143" type="noConversion"/>
  </si>
  <si>
    <t>楼号</t>
    <phoneticPr fontId="143" type="noConversion"/>
  </si>
  <si>
    <t>楼层</t>
    <phoneticPr fontId="143" type="noConversion"/>
  </si>
  <si>
    <t>建筑面积</t>
    <phoneticPr fontId="143" type="noConversion"/>
  </si>
  <si>
    <t>高度</t>
    <phoneticPr fontId="143" type="noConversion"/>
  </si>
  <si>
    <t>1号楼</t>
    <phoneticPr fontId="143" type="noConversion"/>
  </si>
  <si>
    <t>2号楼</t>
  </si>
  <si>
    <t>3号楼</t>
  </si>
  <si>
    <t>4号楼</t>
  </si>
  <si>
    <t>5号楼</t>
  </si>
  <si>
    <t>6号楼</t>
  </si>
  <si>
    <t>7号楼</t>
  </si>
  <si>
    <t>8号楼</t>
  </si>
  <si>
    <t>天津融创融园项目土地使用权价格询价结果</t>
    <phoneticPr fontId="143" type="noConversion"/>
  </si>
  <si>
    <t>9号楼</t>
  </si>
  <si>
    <t>地块名称</t>
    <phoneticPr fontId="143" type="noConversion"/>
  </si>
  <si>
    <t>用途</t>
    <phoneticPr fontId="143" type="noConversion"/>
  </si>
  <si>
    <t>（规划）建筑面积（m2）</t>
    <phoneticPr fontId="143" type="noConversion"/>
  </si>
  <si>
    <t>（分摊）土地面积（m2）</t>
    <phoneticPr fontId="143" type="noConversion"/>
  </si>
  <si>
    <t>市场价值（万元）</t>
    <phoneticPr fontId="143" type="noConversion"/>
  </si>
  <si>
    <t>楼面单价（元/平方米）</t>
    <phoneticPr fontId="143" type="noConversion"/>
  </si>
  <si>
    <t>地面单价（元/平方米）</t>
    <phoneticPr fontId="143" type="noConversion"/>
  </si>
  <si>
    <t>抵押价值（万元）</t>
    <phoneticPr fontId="143" type="noConversion"/>
  </si>
  <si>
    <t>10号楼</t>
  </si>
  <si>
    <r>
      <t>B</t>
    </r>
    <r>
      <rPr>
        <sz val="11"/>
        <color theme="1"/>
        <rFont val="宋体"/>
        <family val="3"/>
        <charset val="134"/>
        <scheme val="minor"/>
      </rPr>
      <t>1、B2地块</t>
    </r>
    <phoneticPr fontId="143" type="noConversion"/>
  </si>
  <si>
    <t>住宅</t>
    <phoneticPr fontId="143" type="noConversion"/>
  </si>
  <si>
    <t>11号楼</t>
  </si>
  <si>
    <r>
      <t>B</t>
    </r>
    <r>
      <rPr>
        <sz val="11"/>
        <color theme="1"/>
        <rFont val="宋体"/>
        <family val="3"/>
        <charset val="134"/>
        <scheme val="minor"/>
      </rPr>
      <t>3地块</t>
    </r>
    <phoneticPr fontId="143" type="noConversion"/>
  </si>
  <si>
    <t>商业</t>
    <phoneticPr fontId="143" type="noConversion"/>
  </si>
  <si>
    <t>12号楼</t>
  </si>
  <si>
    <r>
      <t>B</t>
    </r>
    <r>
      <rPr>
        <sz val="11"/>
        <color theme="1"/>
        <rFont val="宋体"/>
        <family val="3"/>
        <charset val="134"/>
        <scheme val="minor"/>
      </rPr>
      <t>4地块</t>
    </r>
    <phoneticPr fontId="143" type="noConversion"/>
  </si>
  <si>
    <t>13号楼</t>
  </si>
  <si>
    <t>合计</t>
    <phoneticPr fontId="143" type="noConversion"/>
  </si>
  <si>
    <t>——</t>
    <phoneticPr fontId="143" type="noConversion"/>
  </si>
  <si>
    <t>14号楼</t>
  </si>
  <si>
    <t>15号楼</t>
  </si>
  <si>
    <t>配建一</t>
    <phoneticPr fontId="143" type="noConversion"/>
  </si>
  <si>
    <t>配建二</t>
    <phoneticPr fontId="143" type="noConversion"/>
  </si>
  <si>
    <t>配建三</t>
    <phoneticPr fontId="143" type="noConversion"/>
  </si>
  <si>
    <t>配建四</t>
    <phoneticPr fontId="143" type="noConversion"/>
  </si>
  <si>
    <t>配建五</t>
    <phoneticPr fontId="143" type="noConversion"/>
  </si>
  <si>
    <t>变电站一</t>
    <phoneticPr fontId="143" type="noConversion"/>
  </si>
  <si>
    <t>地下车库</t>
    <phoneticPr fontId="143" type="noConversion"/>
  </si>
  <si>
    <t>负1</t>
    <phoneticPr fontId="143" type="noConversion"/>
  </si>
  <si>
    <t>已售信息</t>
    <phoneticPr fontId="143" type="noConversion"/>
  </si>
  <si>
    <t>已售面积</t>
    <phoneticPr fontId="143" type="noConversion"/>
  </si>
  <si>
    <t>住宅合计</t>
    <phoneticPr fontId="143" type="noConversion"/>
  </si>
  <si>
    <t>类型</t>
    <phoneticPr fontId="143" type="noConversion"/>
  </si>
  <si>
    <t>单价</t>
    <phoneticPr fontId="143" type="noConversion"/>
  </si>
  <si>
    <t>楼号</t>
    <phoneticPr fontId="143" type="noConversion"/>
  </si>
  <si>
    <t>总楼层</t>
    <phoneticPr fontId="143" type="noConversion"/>
  </si>
  <si>
    <t>一期高层</t>
    <phoneticPr fontId="143" type="noConversion"/>
  </si>
  <si>
    <t>5-9号楼</t>
    <phoneticPr fontId="143" type="noConversion"/>
  </si>
  <si>
    <t>20、21层</t>
    <phoneticPr fontId="143" type="noConversion"/>
  </si>
  <si>
    <r>
      <t>B</t>
    </r>
    <r>
      <rPr>
        <sz val="11"/>
        <color theme="1"/>
        <rFont val="宋体"/>
        <family val="3"/>
        <charset val="134"/>
        <scheme val="minor"/>
      </rPr>
      <t>2</t>
    </r>
    <phoneticPr fontId="143" type="noConversion"/>
  </si>
  <si>
    <t>一期小高</t>
    <phoneticPr fontId="143" type="noConversion"/>
  </si>
  <si>
    <t>12-14号楼</t>
    <phoneticPr fontId="143" type="noConversion"/>
  </si>
  <si>
    <r>
      <t>1</t>
    </r>
    <r>
      <rPr>
        <sz val="11"/>
        <color theme="1"/>
        <rFont val="宋体"/>
        <family val="3"/>
        <charset val="134"/>
        <scheme val="minor"/>
      </rPr>
      <t>5层</t>
    </r>
    <phoneticPr fontId="143" type="noConversion"/>
  </si>
  <si>
    <t>一期平墅</t>
    <phoneticPr fontId="143" type="noConversion"/>
  </si>
  <si>
    <t>1-4、10-11、15号楼</t>
    <phoneticPr fontId="143" type="noConversion"/>
  </si>
  <si>
    <t>6、7层</t>
    <phoneticPr fontId="143" type="noConversion"/>
  </si>
  <si>
    <t>土地终止日期</t>
    <phoneticPr fontId="143" type="noConversion"/>
  </si>
  <si>
    <t>二期高层</t>
    <phoneticPr fontId="143" type="noConversion"/>
  </si>
  <si>
    <t>5-12号楼</t>
    <phoneticPr fontId="143" type="noConversion"/>
  </si>
  <si>
    <t>21、24层</t>
    <phoneticPr fontId="143" type="noConversion"/>
  </si>
  <si>
    <t>汇莲美苑1-14#(B2规证)</t>
    <phoneticPr fontId="143" type="noConversion"/>
  </si>
  <si>
    <t>二期小高</t>
    <phoneticPr fontId="143" type="noConversion"/>
  </si>
  <si>
    <t>2-4号楼</t>
    <phoneticPr fontId="143" type="noConversion"/>
  </si>
  <si>
    <t>15层</t>
    <phoneticPr fontId="143" type="noConversion"/>
  </si>
  <si>
    <t>楼层</t>
    <phoneticPr fontId="143" type="noConversion"/>
  </si>
  <si>
    <t>高度</t>
    <phoneticPr fontId="143" type="noConversion"/>
  </si>
  <si>
    <t>二期平墅</t>
    <phoneticPr fontId="143" type="noConversion"/>
  </si>
  <si>
    <t>1、13、14号楼</t>
    <phoneticPr fontId="143" type="noConversion"/>
  </si>
  <si>
    <t>7层</t>
    <phoneticPr fontId="143" type="noConversion"/>
  </si>
  <si>
    <t>2号楼</t>
    <phoneticPr fontId="143" type="noConversion"/>
  </si>
  <si>
    <t>3号楼</t>
    <phoneticPr fontId="143" type="noConversion"/>
  </si>
  <si>
    <t>6号楼</t>
    <phoneticPr fontId="143" type="noConversion"/>
  </si>
  <si>
    <t>7号楼</t>
    <phoneticPr fontId="143" type="noConversion"/>
  </si>
  <si>
    <t>土建变电站一</t>
    <phoneticPr fontId="143" type="noConversion"/>
  </si>
  <si>
    <t>土建变电站二</t>
    <phoneticPr fontId="143" type="noConversion"/>
  </si>
  <si>
    <t>地下车库</t>
    <phoneticPr fontId="143" type="noConversion"/>
  </si>
  <si>
    <t>负1</t>
    <phoneticPr fontId="143" type="noConversion"/>
  </si>
  <si>
    <t>5号楼</t>
    <phoneticPr fontId="143" type="noConversion"/>
  </si>
  <si>
    <t>合计</t>
    <phoneticPr fontId="143" type="noConversion"/>
  </si>
  <si>
    <t>已售数据</t>
    <phoneticPr fontId="143" type="noConversion"/>
  </si>
  <si>
    <t>类型</t>
    <phoneticPr fontId="143" type="noConversion"/>
  </si>
  <si>
    <t>协议时间</t>
    <phoneticPr fontId="143" type="noConversion"/>
  </si>
  <si>
    <t>已售面积</t>
    <phoneticPr fontId="143" type="noConversion"/>
  </si>
  <si>
    <t>高层</t>
    <phoneticPr fontId="143" type="noConversion"/>
  </si>
  <si>
    <t>小高层</t>
    <phoneticPr fontId="143" type="noConversion"/>
  </si>
  <si>
    <t>平墅</t>
    <phoneticPr fontId="143" type="noConversion"/>
  </si>
  <si>
    <t>项目名称</t>
    <phoneticPr fontId="143" type="noConversion"/>
  </si>
  <si>
    <t>建筑类型</t>
    <phoneticPr fontId="143" type="noConversion"/>
  </si>
  <si>
    <t>目前销售单价</t>
    <phoneticPr fontId="143" type="noConversion"/>
  </si>
  <si>
    <t>装修情况</t>
    <phoneticPr fontId="143" type="noConversion"/>
  </si>
  <si>
    <t>装修标准</t>
    <phoneticPr fontId="143" type="noConversion"/>
  </si>
  <si>
    <t>融创融园</t>
    <phoneticPr fontId="143" type="noConversion"/>
  </si>
  <si>
    <t>毛坯</t>
    <phoneticPr fontId="143" type="noConversion"/>
  </si>
  <si>
    <t>洋房</t>
    <phoneticPr fontId="143" type="noConversion"/>
  </si>
  <si>
    <r>
      <t>2</t>
    </r>
    <r>
      <rPr>
        <sz val="11"/>
        <color theme="1"/>
        <rFont val="宋体"/>
        <family val="3"/>
        <charset val="134"/>
        <scheme val="minor"/>
      </rPr>
      <t>6000-27000</t>
    </r>
    <phoneticPr fontId="143" type="noConversion"/>
  </si>
  <si>
    <t>上东金茂府</t>
    <phoneticPr fontId="143" type="noConversion"/>
  </si>
  <si>
    <t>精装</t>
    <phoneticPr fontId="143" type="noConversion"/>
  </si>
  <si>
    <t>融创城</t>
    <phoneticPr fontId="143" type="noConversion"/>
  </si>
  <si>
    <t>万科东郡</t>
    <phoneticPr fontId="143" type="noConversion"/>
  </si>
  <si>
    <t>东丽1号</t>
    <phoneticPr fontId="143" type="noConversion"/>
  </si>
  <si>
    <t>租金</t>
    <phoneticPr fontId="143" type="noConversion"/>
  </si>
  <si>
    <t>万达办公</t>
    <phoneticPr fontId="143" type="noConversion"/>
  </si>
  <si>
    <t>汇莲馨苑B1销售台账   单位：元</t>
  </si>
  <si>
    <t>序号</t>
    <phoneticPr fontId="143" type="noConversion"/>
  </si>
  <si>
    <t>分地块</t>
  </si>
  <si>
    <r>
      <rPr>
        <b/>
        <sz val="10"/>
        <rFont val="Arial Narrow"/>
        <family val="2"/>
      </rPr>
      <t>楼号</t>
    </r>
  </si>
  <si>
    <t>楼门</t>
  </si>
  <si>
    <t>房号</t>
  </si>
  <si>
    <r>
      <rPr>
        <b/>
        <sz val="10"/>
        <rFont val="Arial Narrow"/>
        <family val="2"/>
      </rPr>
      <t>产品类型</t>
    </r>
  </si>
  <si>
    <r>
      <rPr>
        <b/>
        <sz val="10"/>
        <rFont val="Arial Narrow"/>
        <family val="2"/>
      </rPr>
      <t>建筑面积</t>
    </r>
  </si>
  <si>
    <r>
      <t>2</t>
    </r>
    <r>
      <rPr>
        <sz val="11"/>
        <color theme="1"/>
        <rFont val="宋体"/>
        <family val="3"/>
        <charset val="134"/>
        <scheme val="minor"/>
      </rPr>
      <t>23套</t>
    </r>
    <phoneticPr fontId="143" type="noConversion"/>
  </si>
  <si>
    <t>建筑面积</t>
    <phoneticPr fontId="143" type="noConversion"/>
  </si>
  <si>
    <t>总建面</t>
    <phoneticPr fontId="143" type="noConversion"/>
  </si>
  <si>
    <t>土地面积</t>
    <phoneticPr fontId="143" type="noConversion"/>
  </si>
  <si>
    <t>12-1-1001</t>
  </si>
  <si>
    <t>一期小高</t>
  </si>
  <si>
    <t>一期小高</t>
    <phoneticPr fontId="143" type="noConversion"/>
  </si>
  <si>
    <t>1-1-102</t>
  </si>
  <si>
    <t>一期平墅</t>
    <phoneticPr fontId="143" type="noConversion"/>
  </si>
  <si>
    <t>1-1-201</t>
  </si>
  <si>
    <t>住宅合计</t>
    <phoneticPr fontId="143" type="noConversion"/>
  </si>
  <si>
    <t>1-1-301</t>
  </si>
  <si>
    <t>36套商业</t>
    <phoneticPr fontId="143" type="noConversion"/>
  </si>
  <si>
    <t>1-1-401</t>
  </si>
  <si>
    <t>合计</t>
    <phoneticPr fontId="143" type="noConversion"/>
  </si>
  <si>
    <t>1-1-402</t>
  </si>
  <si>
    <t>1-1-501</t>
  </si>
  <si>
    <t>1-1-502</t>
  </si>
  <si>
    <t>1-1-601</t>
  </si>
  <si>
    <t>1-1-602</t>
  </si>
  <si>
    <t>1-2-101</t>
  </si>
  <si>
    <t>1-2-102</t>
  </si>
  <si>
    <t>1-2-201</t>
  </si>
  <si>
    <t>1-2-202</t>
  </si>
  <si>
    <t>1-2-301</t>
  </si>
  <si>
    <t>1-2-302</t>
  </si>
  <si>
    <t>1-2-401</t>
  </si>
  <si>
    <t>1-2-402</t>
  </si>
  <si>
    <t>1-2-501</t>
  </si>
  <si>
    <t>1-2-601</t>
    <phoneticPr fontId="143" type="noConversion"/>
  </si>
  <si>
    <t>1-2-602</t>
  </si>
  <si>
    <t>1-3-101</t>
  </si>
  <si>
    <t>1-3-102</t>
  </si>
  <si>
    <t>1-3-201</t>
  </si>
  <si>
    <t>1-3-202</t>
  </si>
  <si>
    <t>1-3-301</t>
  </si>
  <si>
    <t>1-3-302</t>
  </si>
  <si>
    <t>1-3-401</t>
  </si>
  <si>
    <t>1-3-402</t>
  </si>
  <si>
    <t>1-3-501</t>
  </si>
  <si>
    <t>1-3-601</t>
  </si>
  <si>
    <t>1-3-602</t>
  </si>
  <si>
    <t>1-4-101</t>
  </si>
  <si>
    <t>1-4-102</t>
  </si>
  <si>
    <t>1-4-201</t>
  </si>
  <si>
    <t>1-4-202</t>
  </si>
  <si>
    <t>1-4-302</t>
  </si>
  <si>
    <t>1-4-401</t>
  </si>
  <si>
    <t>1-4-402</t>
  </si>
  <si>
    <t>1-4-501</t>
  </si>
  <si>
    <t>1-4-502</t>
  </si>
  <si>
    <t>1-4-601</t>
  </si>
  <si>
    <t>1-4-602</t>
  </si>
  <si>
    <t>10-1-101</t>
  </si>
  <si>
    <t>10-1-102</t>
  </si>
  <si>
    <t>10-1-201</t>
  </si>
  <si>
    <t>10-1-301</t>
  </si>
  <si>
    <t>10-1-401</t>
  </si>
  <si>
    <t>10-1-501</t>
  </si>
  <si>
    <t>10-1-502</t>
  </si>
  <si>
    <t>10-2-101</t>
  </si>
  <si>
    <t>10-2-102</t>
  </si>
  <si>
    <t>10-2-201</t>
  </si>
  <si>
    <t>10-2-202</t>
  </si>
  <si>
    <t>10-2-301</t>
  </si>
  <si>
    <t>10-2-402</t>
  </si>
  <si>
    <t>10-2-501</t>
  </si>
  <si>
    <t>10-2-502</t>
  </si>
  <si>
    <t>11-1-101</t>
  </si>
  <si>
    <t>11-1-102</t>
  </si>
  <si>
    <t>11-1-201</t>
  </si>
  <si>
    <t>11-1-301</t>
  </si>
  <si>
    <t>11-1-501</t>
  </si>
  <si>
    <t>11-1-502</t>
  </si>
  <si>
    <t>11-2-101</t>
  </si>
  <si>
    <t>11-2-102</t>
  </si>
  <si>
    <t>11-2-202</t>
  </si>
  <si>
    <t>11-2-301</t>
  </si>
  <si>
    <t>11-2-401</t>
  </si>
  <si>
    <t>11-2-402</t>
  </si>
  <si>
    <t>11-2-501</t>
  </si>
  <si>
    <t>11-2-502</t>
  </si>
  <si>
    <t>12-1-101</t>
  </si>
  <si>
    <t>12-1-102</t>
  </si>
  <si>
    <t>12-1-1201</t>
  </si>
  <si>
    <t>12-1-1301</t>
  </si>
  <si>
    <t>12-1-1401</t>
  </si>
  <si>
    <t>12-1-1402</t>
  </si>
  <si>
    <t>12-1-201</t>
  </si>
  <si>
    <t>12-1-202</t>
  </si>
  <si>
    <t>12-1-301</t>
  </si>
  <si>
    <t>12-1-401</t>
  </si>
  <si>
    <t>12-1-402</t>
  </si>
  <si>
    <t>12-1-501</t>
  </si>
  <si>
    <t>12-1-601</t>
  </si>
  <si>
    <t>12-1-701</t>
  </si>
  <si>
    <t>12-1-801</t>
  </si>
  <si>
    <t>12-1-802</t>
  </si>
  <si>
    <t>12-1-901</t>
  </si>
  <si>
    <t>12-1-902</t>
  </si>
  <si>
    <t>13-1-1001</t>
  </si>
  <si>
    <t>13-1-1002</t>
  </si>
  <si>
    <t>13-1-1101</t>
  </si>
  <si>
    <t>13-1-1102</t>
  </si>
  <si>
    <t>13-1-1201</t>
  </si>
  <si>
    <t>13-1-1202</t>
  </si>
  <si>
    <t>13-1-1301</t>
  </si>
  <si>
    <t>13-1-1302</t>
  </si>
  <si>
    <t>13-1-1401</t>
  </si>
  <si>
    <t>13-1-1402</t>
  </si>
  <si>
    <t>13-1-301</t>
  </si>
  <si>
    <t>13-1-302</t>
  </si>
  <si>
    <t>13-1-401</t>
  </si>
  <si>
    <t>13-1-402</t>
  </si>
  <si>
    <t>13-1-501</t>
  </si>
  <si>
    <t>13-1-502</t>
  </si>
  <si>
    <t>13-1-601</t>
  </si>
  <si>
    <t>13-1-602</t>
  </si>
  <si>
    <t>13-1-701</t>
  </si>
  <si>
    <t>13-1-702</t>
  </si>
  <si>
    <t>13-1-801</t>
  </si>
  <si>
    <t>13-1-802</t>
  </si>
  <si>
    <t>13-1-901</t>
  </si>
  <si>
    <t>13-1-902</t>
  </si>
  <si>
    <t>14-1-1001</t>
  </si>
  <si>
    <t>14-1-1002</t>
  </si>
  <si>
    <t>14-1-1101</t>
  </si>
  <si>
    <t>14-1-1102</t>
  </si>
  <si>
    <t>14-1-1201</t>
  </si>
  <si>
    <t>14-1-1301</t>
  </si>
  <si>
    <t>14-1-1302</t>
  </si>
  <si>
    <t>14-1-1401</t>
  </si>
  <si>
    <t>14-1-1402</t>
  </si>
  <si>
    <t>14-1-301</t>
  </si>
  <si>
    <t>14-1-302</t>
  </si>
  <si>
    <t>14-1-401</t>
  </si>
  <si>
    <t>14-1-402</t>
  </si>
  <si>
    <t>14-1-501</t>
  </si>
  <si>
    <t>14-1-502</t>
  </si>
  <si>
    <t>14-1-601</t>
  </si>
  <si>
    <t>14-1-602</t>
  </si>
  <si>
    <t>14-1-701</t>
  </si>
  <si>
    <t>14-1-702</t>
  </si>
  <si>
    <t>14-1-801</t>
  </si>
  <si>
    <t>14-1-802</t>
  </si>
  <si>
    <t>14-1-901</t>
  </si>
  <si>
    <t>14-1-902</t>
  </si>
  <si>
    <t>15-1-101</t>
  </si>
  <si>
    <t>15-1-102</t>
  </si>
  <si>
    <t>15-1-201</t>
  </si>
  <si>
    <t>15-1-301</t>
  </si>
  <si>
    <t>15-1-501</t>
  </si>
  <si>
    <t>15-1-601</t>
  </si>
  <si>
    <t>15-1-602</t>
  </si>
  <si>
    <t>15-2-101</t>
  </si>
  <si>
    <t>15-2-102</t>
  </si>
  <si>
    <t>15-2-201</t>
  </si>
  <si>
    <t>15-2-202</t>
  </si>
  <si>
    <t>15-2-301</t>
  </si>
  <si>
    <t>15-2-302</t>
  </si>
  <si>
    <t>15-2-401</t>
  </si>
  <si>
    <t>15-2-402</t>
  </si>
  <si>
    <t>15-2-501</t>
  </si>
  <si>
    <t>15-2-502</t>
  </si>
  <si>
    <t>15-2-601</t>
  </si>
  <si>
    <t>15-2-602</t>
  </si>
  <si>
    <t>15-3-101</t>
  </si>
  <si>
    <t>15-3-102</t>
  </si>
  <si>
    <t>15-3-201</t>
  </si>
  <si>
    <t>15-3-202</t>
  </si>
  <si>
    <t>15-3-301</t>
  </si>
  <si>
    <t>15-3-302</t>
  </si>
  <si>
    <t>15-3-501</t>
  </si>
  <si>
    <t>15-3-601</t>
  </si>
  <si>
    <t>15-3-602</t>
  </si>
  <si>
    <t>15-4-101</t>
  </si>
  <si>
    <t>15-4-102</t>
  </si>
  <si>
    <t>15-4-202</t>
  </si>
  <si>
    <t>15-4-302</t>
  </si>
  <si>
    <t>15-4-502</t>
  </si>
  <si>
    <t>15-4-601</t>
  </si>
  <si>
    <t>15-4-602</t>
  </si>
  <si>
    <t>2-1-101</t>
  </si>
  <si>
    <t>2-1-102</t>
  </si>
  <si>
    <t>2-1-502</t>
  </si>
  <si>
    <t>2-1-602</t>
  </si>
  <si>
    <t>2-2-101</t>
  </si>
  <si>
    <t>2-2-102</t>
  </si>
  <si>
    <t>2-2-501</t>
  </si>
  <si>
    <t>2-2-602</t>
  </si>
  <si>
    <t>2-3-101</t>
  </si>
  <si>
    <t>2-3-102</t>
  </si>
  <si>
    <t>2-3-201</t>
  </si>
  <si>
    <t>2-3-502</t>
  </si>
  <si>
    <t>2-3-601</t>
  </si>
  <si>
    <t>2-3-602</t>
  </si>
  <si>
    <t>2-4-101</t>
  </si>
  <si>
    <t>2-4-102</t>
  </si>
  <si>
    <t>2-4-501</t>
  </si>
  <si>
    <t>2-4-601</t>
  </si>
  <si>
    <t>2-4-602</t>
  </si>
  <si>
    <t>3-1-101</t>
  </si>
  <si>
    <t>3-1-102</t>
  </si>
  <si>
    <t>3-1-302</t>
  </si>
  <si>
    <t>3-1-401</t>
  </si>
  <si>
    <t>3-1-402</t>
  </si>
  <si>
    <t>3-1-501</t>
  </si>
  <si>
    <t>3-1-502</t>
  </si>
  <si>
    <t>3-2-101</t>
  </si>
  <si>
    <t>3-2-102</t>
  </si>
  <si>
    <t>3-2-201</t>
  </si>
  <si>
    <t>3-2-301</t>
  </si>
  <si>
    <t>3-2-501</t>
  </si>
  <si>
    <t>3-2-502</t>
  </si>
  <si>
    <t>3-3-101</t>
  </si>
  <si>
    <t>3-3-102</t>
  </si>
  <si>
    <t>3-3-202</t>
  </si>
  <si>
    <t>3-3-402</t>
  </si>
  <si>
    <t>3-3-501</t>
  </si>
  <si>
    <t>3-3-502</t>
  </si>
  <si>
    <t>4-1-101</t>
  </si>
  <si>
    <t>4-1-102</t>
  </si>
  <si>
    <t>4-1-201</t>
  </si>
  <si>
    <t>4-1-401</t>
  </si>
  <si>
    <t>4-1-402</t>
  </si>
  <si>
    <t>4-1-501</t>
  </si>
  <si>
    <t>4-1-502</t>
  </si>
  <si>
    <t>4-2-101</t>
  </si>
  <si>
    <t>4-2-102</t>
  </si>
  <si>
    <t>4-2-302</t>
  </si>
  <si>
    <t>4-2-402</t>
  </si>
  <si>
    <t>4-2-501</t>
  </si>
  <si>
    <t>4-2-502</t>
  </si>
  <si>
    <t>融园商业销售台账   单位：元</t>
  </si>
  <si>
    <t>套数</t>
  </si>
  <si>
    <t>状态   
已售/未售</t>
  </si>
  <si>
    <r>
      <rPr>
        <b/>
        <sz val="10"/>
        <rFont val="Arial Narrow"/>
        <family val="2"/>
      </rPr>
      <t>房号</t>
    </r>
  </si>
  <si>
    <r>
      <rPr>
        <b/>
        <sz val="10"/>
        <rFont val="Arial Narrow"/>
        <family val="2"/>
      </rPr>
      <t>网签日期</t>
    </r>
  </si>
  <si>
    <t>未售</t>
  </si>
  <si>
    <t>程永道171号</t>
    <phoneticPr fontId="143" type="noConversion"/>
  </si>
  <si>
    <t>一期商业</t>
  </si>
  <si>
    <t>1-2层</t>
    <phoneticPr fontId="143" type="noConversion"/>
  </si>
  <si>
    <t>程永道173号</t>
  </si>
  <si>
    <t>程永道175号</t>
  </si>
  <si>
    <t>程永道177号</t>
  </si>
  <si>
    <t>程永道179号</t>
  </si>
  <si>
    <t>程永道155号</t>
  </si>
  <si>
    <t>程永道157号</t>
  </si>
  <si>
    <t>1层</t>
    <phoneticPr fontId="143" type="noConversion"/>
  </si>
  <si>
    <t>程永道159号</t>
  </si>
  <si>
    <t>程永道161号</t>
  </si>
  <si>
    <t>程永道163号</t>
  </si>
  <si>
    <t>程永道165号</t>
  </si>
  <si>
    <t>程永道167号</t>
  </si>
  <si>
    <t>程永道139号</t>
  </si>
  <si>
    <t>程永道141号</t>
  </si>
  <si>
    <t>程永道143号</t>
  </si>
  <si>
    <t>程永道145号</t>
  </si>
  <si>
    <t>汇莲路10号</t>
  </si>
  <si>
    <t>汇莲路6号</t>
  </si>
  <si>
    <t>汇莲路8号</t>
  </si>
  <si>
    <t>配建二</t>
  </si>
  <si>
    <t>沙柳路295号</t>
  </si>
  <si>
    <t>沙柳路297号</t>
  </si>
  <si>
    <t>沙柳路299号</t>
  </si>
  <si>
    <t>沙柳路301号</t>
  </si>
  <si>
    <t>沙柳路303号</t>
  </si>
  <si>
    <t>沙柳路305号</t>
  </si>
  <si>
    <t>程永道181号</t>
  </si>
  <si>
    <t>配建三</t>
  </si>
  <si>
    <t>程永道169号</t>
  </si>
  <si>
    <t>配建四</t>
  </si>
  <si>
    <t>程永道147号</t>
  </si>
  <si>
    <t>程永道149号</t>
  </si>
  <si>
    <t>程永道151号</t>
  </si>
  <si>
    <t>程永道153号</t>
  </si>
  <si>
    <t>配建五</t>
  </si>
  <si>
    <t>汇莲路2号</t>
  </si>
  <si>
    <t>汇莲路4号</t>
  </si>
  <si>
    <t>程永道133号</t>
  </si>
  <si>
    <t>程永道135号</t>
  </si>
  <si>
    <t>程永道137号</t>
  </si>
  <si>
    <t>一期商业</t>
    <phoneticPr fontId="143" type="noConversion"/>
  </si>
  <si>
    <r>
      <t>1-</t>
    </r>
    <r>
      <rPr>
        <sz val="11"/>
        <color theme="1"/>
        <rFont val="宋体"/>
        <family val="3"/>
        <charset val="134"/>
        <scheme val="minor"/>
      </rPr>
      <t>2层</t>
    </r>
    <phoneticPr fontId="143" type="noConversion"/>
  </si>
  <si>
    <t>2层</t>
    <phoneticPr fontId="143" type="noConversion"/>
  </si>
  <si>
    <t>（规划）建筑面积（m2）</t>
  </si>
  <si>
    <t>（分摊）土地面积（m2）</t>
  </si>
  <si>
    <t>市场价值（万元）</t>
  </si>
  <si>
    <t>楼面单价（元/平方米）</t>
    <phoneticPr fontId="143" type="noConversion"/>
  </si>
  <si>
    <t>地面单价（元/平方米）</t>
  </si>
  <si>
    <t>项目名称</t>
  </si>
  <si>
    <t>规划建筑面积</t>
  </si>
  <si>
    <t>本次抵押在建建筑物规划建筑面积</t>
  </si>
  <si>
    <r>
      <t>(</t>
    </r>
    <r>
      <rPr>
        <sz val="9"/>
        <color theme="1"/>
        <rFont val="华文细黑"/>
        <family val="3"/>
        <charset val="134"/>
      </rPr>
      <t>分摊</t>
    </r>
    <r>
      <rPr>
        <sz val="9"/>
        <color theme="1"/>
        <rFont val="Arial"/>
        <family val="2"/>
      </rPr>
      <t xml:space="preserve">) </t>
    </r>
    <r>
      <rPr>
        <sz val="9"/>
        <color theme="1"/>
        <rFont val="华文细黑"/>
        <family val="3"/>
        <charset val="134"/>
      </rPr>
      <t>出让国有建设用地使用权面积</t>
    </r>
  </si>
  <si>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</si>
  <si>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</si>
  <si>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</si>
  <si>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</si>
  <si>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</si>
  <si>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</si>
  <si>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天津市东丽区津滨大道与沙柳路交口东北侧</t>
    </r>
    <r>
      <rPr>
        <sz val="9"/>
        <color theme="1"/>
        <rFont val="Arial"/>
        <family val="2"/>
      </rPr>
      <t>B1</t>
    </r>
    <r>
      <rPr>
        <sz val="9"/>
        <color theme="1"/>
        <rFont val="华文细黑"/>
        <family val="3"/>
        <charset val="134"/>
      </rPr>
      <t>地块“汇莲馨苑”项目部分用房分摊出让国有建设用地使用权及部分在建建筑物</t>
    </r>
  </si>
  <si>
    <t>——</t>
    <phoneticPr fontId="143" type="noConversion"/>
  </si>
  <si>
    <r>
      <t>天津市东丽区津滨大道与雪山路交口西北侧</t>
    </r>
    <r>
      <rPr>
        <sz val="9"/>
        <color theme="1"/>
        <rFont val="Arial"/>
        <family val="2"/>
      </rPr>
      <t>B2</t>
    </r>
    <r>
      <rPr>
        <sz val="9"/>
        <color theme="1"/>
        <rFont val="华文细黑"/>
        <family val="3"/>
        <charset val="134"/>
      </rPr>
      <t>地块“汇莲美苑”项目部分用房分摊出让国有建设用地使用权及部分在建建筑物</t>
    </r>
  </si>
  <si>
    <r>
      <t>天津市东丽区津滨大道与沙柳路交口东北侧</t>
    </r>
    <r>
      <rPr>
        <sz val="9"/>
        <color theme="1"/>
        <rFont val="Arial"/>
        <family val="2"/>
      </rPr>
      <t>B3</t>
    </r>
    <r>
      <rPr>
        <sz val="9"/>
        <color theme="1"/>
        <rFont val="华文细黑"/>
        <family val="3"/>
        <charset val="134"/>
      </rPr>
      <t>地块</t>
    </r>
    <r>
      <rPr>
        <sz val="9"/>
        <color theme="1"/>
        <rFont val="Arial"/>
        <family val="2"/>
      </rPr>
      <t>1</t>
    </r>
    <r>
      <rPr>
        <sz val="9"/>
        <color theme="1"/>
        <rFont val="华文细黑"/>
        <family val="3"/>
        <charset val="134"/>
      </rPr>
      <t>宗商业用地出让国有建设用地使用权</t>
    </r>
  </si>
  <si>
    <r>
      <t>天津市东丽区津滨大道与雪山路交口西北侧</t>
    </r>
    <r>
      <rPr>
        <sz val="9"/>
        <color theme="1"/>
        <rFont val="Arial"/>
        <family val="2"/>
      </rPr>
      <t>B4</t>
    </r>
    <r>
      <rPr>
        <sz val="9"/>
        <color theme="1"/>
        <rFont val="华文细黑"/>
        <family val="3"/>
        <charset val="134"/>
      </rPr>
      <t>地块</t>
    </r>
    <r>
      <rPr>
        <sz val="9"/>
        <color theme="1"/>
        <rFont val="Arial"/>
        <family val="2"/>
      </rPr>
      <t>1</t>
    </r>
    <r>
      <rPr>
        <sz val="9"/>
        <color theme="1"/>
        <rFont val="华文细黑"/>
        <family val="3"/>
        <charset val="134"/>
      </rPr>
      <t>宗商业用地出让国有建设用地使用权</t>
    </r>
  </si>
  <si>
    <t>大写金额</t>
  </si>
  <si>
    <t>估价师知悉的除抵押担保权以外的其他法定优先受偿款</t>
  </si>
  <si>
    <t>零元整</t>
  </si>
  <si>
    <t>抵押担保权已注销时的房地产抵押价值</t>
  </si>
  <si>
    <r>
      <t>单位：平方米、万元、元</t>
    </r>
    <r>
      <rPr>
        <sz val="9"/>
        <color theme="1"/>
        <rFont val="Arial"/>
        <family val="2"/>
      </rPr>
      <t>/</t>
    </r>
    <r>
      <rPr>
        <sz val="9"/>
        <color theme="1"/>
        <rFont val="华文细黑"/>
        <family val="3"/>
        <charset val="134"/>
      </rPr>
      <t>平方米（币种：人民币）</t>
    </r>
  </si>
  <si>
    <t>居住项目</t>
  </si>
  <si>
    <t>通热</t>
  </si>
  <si>
    <t>燃气</t>
  </si>
  <si>
    <t>小高层</t>
  </si>
  <si>
    <t>小高层</t>
    <phoneticPr fontId="16" type="noConversion"/>
  </si>
  <si>
    <t>平墅</t>
  </si>
  <si>
    <t>平墅</t>
    <phoneticPr fontId="16" type="noConversion"/>
  </si>
  <si>
    <t>底商</t>
  </si>
  <si>
    <t>小高层</t>
    <phoneticPr fontId="7" type="noConversion"/>
  </si>
  <si>
    <t>平墅</t>
    <phoneticPr fontId="7" type="noConversion"/>
  </si>
  <si>
    <t>底商</t>
    <phoneticPr fontId="7" type="noConversion"/>
  </si>
  <si>
    <t>收益法</t>
  </si>
  <si>
    <t>城镇住宅</t>
  </si>
  <si>
    <t>综合（含住宅）</t>
  </si>
  <si>
    <t>70</t>
    <phoneticPr fontId="31" type="noConversion"/>
  </si>
  <si>
    <t>70</t>
    <phoneticPr fontId="31" type="noConversion"/>
  </si>
  <si>
    <t>较好</t>
    <phoneticPr fontId="3" type="noConversion"/>
  </si>
  <si>
    <t>一般</t>
    <phoneticPr fontId="3" type="noConversion"/>
  </si>
  <si>
    <t>次干道</t>
  </si>
  <si>
    <t>次干道</t>
    <phoneticPr fontId="3" type="noConversion"/>
  </si>
  <si>
    <t>无</t>
    <phoneticPr fontId="31" type="noConversion"/>
  </si>
  <si>
    <t>一般</t>
  </si>
  <si>
    <r>
      <rPr>
        <b/>
        <sz val="11"/>
        <rFont val="宋体"/>
        <family val="3"/>
        <charset val="134"/>
      </rPr>
      <t>估价对象</t>
    </r>
    <r>
      <rPr>
        <b/>
        <sz val="11"/>
        <rFont val="Arial"/>
        <family val="2"/>
      </rPr>
      <t>B1</t>
    </r>
    <r>
      <rPr>
        <b/>
        <sz val="11"/>
        <rFont val="宋体"/>
        <family val="3"/>
        <charset val="134"/>
      </rPr>
      <t>地块</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</si>
  <si>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七通</t>
  </si>
  <si>
    <t>较规则</t>
  </si>
  <si>
    <t>三通</t>
  </si>
  <si>
    <t>单面临街</t>
  </si>
  <si>
    <t>双面临街</t>
  </si>
  <si>
    <t>多面临街</t>
  </si>
  <si>
    <t>支路</t>
  </si>
  <si>
    <t>主干道</t>
  </si>
  <si>
    <t>未包含在土地购买价格中</t>
  </si>
  <si>
    <t>全部缴纳</t>
  </si>
  <si>
    <t>情况3</t>
  </si>
  <si>
    <t>项目局部</t>
  </si>
  <si>
    <t>万科东郡</t>
    <phoneticPr fontId="3" type="noConversion"/>
  </si>
  <si>
    <t>新业御园</t>
    <phoneticPr fontId="3" type="noConversion"/>
  </si>
  <si>
    <r>
      <rPr>
        <sz val="11"/>
        <color theme="9" tint="-0.249977111117893"/>
        <rFont val="仿宋_GB2312"/>
        <family val="3"/>
        <charset val="134"/>
      </rPr>
      <t>项目位置</t>
    </r>
    <phoneticPr fontId="3" type="noConversion"/>
  </si>
  <si>
    <t>主干道</t>
    <phoneticPr fontId="3" type="noConversion"/>
  </si>
  <si>
    <t>支路</t>
    <phoneticPr fontId="3" type="noConversion"/>
  </si>
  <si>
    <t>道路级别</t>
    <phoneticPr fontId="25" type="noConversion"/>
  </si>
  <si>
    <t>次干道</t>
    <phoneticPr fontId="25" type="noConversion"/>
  </si>
  <si>
    <t>平墅（洋房）</t>
    <phoneticPr fontId="3" type="noConversion"/>
  </si>
  <si>
    <t>小高层</t>
    <phoneticPr fontId="3" type="noConversion"/>
  </si>
  <si>
    <t>高品质</t>
    <phoneticPr fontId="3" type="noConversion"/>
  </si>
  <si>
    <t>中档品质</t>
    <phoneticPr fontId="3" type="noConversion"/>
  </si>
  <si>
    <t>低档品质</t>
    <phoneticPr fontId="3" type="noConversion"/>
  </si>
  <si>
    <t>钢混</t>
  </si>
  <si>
    <t>钢混</t>
    <phoneticPr fontId="25"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</si>
  <si>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</si>
  <si>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</si>
  <si>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</si>
  <si>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</si>
  <si>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</si>
  <si>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</si>
  <si>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60-70（含）</t>
  </si>
  <si>
    <r>
      <rPr>
        <b/>
        <sz val="11"/>
        <rFont val="宋体"/>
        <family val="3"/>
        <charset val="134"/>
      </rPr>
      <t>估价对象小高层</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</si>
  <si>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主干道</t>
    <phoneticPr fontId="25" type="noConversion"/>
  </si>
  <si>
    <t>支路</t>
    <phoneticPr fontId="25" type="noConversion"/>
  </si>
  <si>
    <t>正常</t>
  </si>
  <si>
    <t>住宅</t>
    <phoneticPr fontId="25" type="noConversion"/>
  </si>
  <si>
    <t>中档品质</t>
  </si>
  <si>
    <t>普通装修</t>
  </si>
  <si>
    <t>普通物业</t>
  </si>
  <si>
    <t>七通</t>
    <phoneticPr fontId="25" type="noConversion"/>
  </si>
  <si>
    <t>毛坯</t>
  </si>
  <si>
    <t>融创城</t>
    <phoneticPr fontId="3" type="noConversion"/>
  </si>
  <si>
    <t>平墅（洋房）</t>
  </si>
  <si>
    <t>在建（套用方法）</t>
  </si>
  <si>
    <t>押一</t>
  </si>
  <si>
    <t>按租金收入计税</t>
  </si>
  <si>
    <t>抵押价值（万元）</t>
  </si>
  <si>
    <t>抵押净值（万元）</t>
  </si>
  <si>
    <t>结果表</t>
    <phoneticPr fontId="143" type="noConversion"/>
  </si>
  <si>
    <t>B4土地</t>
    <phoneticPr fontId="143" type="noConversion"/>
  </si>
  <si>
    <t>地块名称</t>
    <phoneticPr fontId="143" type="noConversion"/>
  </si>
  <si>
    <t>合计</t>
    <phoneticPr fontId="143" type="noConversion"/>
  </si>
  <si>
    <t>B1在建</t>
    <phoneticPr fontId="143" type="noConversion"/>
  </si>
  <si>
    <t>B2在建</t>
    <phoneticPr fontId="143" type="noConversion"/>
  </si>
  <si>
    <t>B3土地</t>
    <phoneticPr fontId="143" type="noConversion"/>
  </si>
  <si>
    <r>
      <t>天津市东丽区津滨大道与沙柳路交口东北侧</t>
    </r>
    <r>
      <rPr>
        <sz val="9"/>
        <color theme="1"/>
        <rFont val="Arial"/>
        <family val="2"/>
      </rPr>
      <t>B1</t>
    </r>
    <r>
      <rPr>
        <sz val="9"/>
        <color theme="1"/>
        <rFont val="华文细黑"/>
        <family val="3"/>
        <charset val="134"/>
      </rPr>
      <t>地块“汇莲馨苑”项目部分住宅、商业用房分摊的出让国有建设用地使用权及在建建筑物</t>
    </r>
  </si>
  <si>
    <r>
      <t>天津市东丽区津滨大道与雪山路交口西北侧</t>
    </r>
    <r>
      <rPr>
        <sz val="9"/>
        <color theme="1"/>
        <rFont val="Arial"/>
        <family val="2"/>
      </rPr>
      <t>B2</t>
    </r>
    <r>
      <rPr>
        <sz val="9"/>
        <color theme="1"/>
        <rFont val="华文细黑"/>
        <family val="3"/>
        <charset val="134"/>
      </rPr>
      <t>地块“汇莲美苑”项目部分住宅、商业用房分摊的出让国有建设用地使用权及在建建筑物</t>
    </r>
  </si>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</sst>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1" formatCode="_ * #,##0_ ;_ * \-#,##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0_ ;_ * \-#,##0.000_ ;_ * &quot;-&quot;_ ;_ @_ "/>
    <numFmt numFmtId="198" formatCode="_ * #,##0.00_ ;_ * \-#,##0.00_ ;_ * &quot;-&quot;_ ;_ @_ "/>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9"/>
      <color theme="1"/>
      <name val="仿宋"/>
      <family val="3"/>
      <charset val="134"/>
    </font>
    <font>
      <sz val="9"/>
      <color theme="1"/>
      <name val="Arial"/>
      <family val="2"/>
    </font>
    <font>
      <b/>
      <sz val="10"/>
      <name val="华文细黑"/>
      <family val="3"/>
      <charset val="134"/>
    </font>
    <font>
      <sz val="10"/>
      <name val="华文细黑"/>
      <family val="3"/>
      <charset val="134"/>
    </font>
    <font>
      <b/>
      <sz val="10"/>
      <name val="Arial Narrow"/>
      <family val="2"/>
    </font>
    <font>
      <sz val="9"/>
      <color theme="1"/>
      <name val="华文细黑"/>
      <family val="3"/>
      <charset val="134"/>
    </font>
    <font>
      <sz val="9"/>
      <color rgb="FFE36C0A"/>
      <name val="Arial"/>
      <family val="2"/>
    </font>
    <font>
      <b/>
      <sz val="9"/>
      <color theme="1"/>
      <name val="华文细黑"/>
      <family val="3"/>
      <charset val="134"/>
    </font>
    <font>
      <sz val="11"/>
      <color theme="9" tint="-0.249977111117893"/>
      <name val="仿宋_GB2312"/>
      <family val="3"/>
      <charset val="134"/>
    </font>
    <font>
      <b/>
      <sz val="11"/>
      <color rgb="FF666666"/>
      <name val="宋体"/>
      <family val="3"/>
      <charset val="134"/>
      <scheme val="minor"/>
    </font>
    <font>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indexed="55"/>
        <bgColor indexed="64"/>
      </patternFill>
    </fill>
    <fill>
      <patternFill patternType="solid">
        <fgColor indexed="47"/>
        <bgColor indexed="64"/>
      </patternFill>
    </fill>
    <fill>
      <patternFill patternType="solid">
        <fgColor indexed="36"/>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top style="double">
        <color rgb="FF404040"/>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0" fillId="0" borderId="1" xfId="0" applyBorder="1" applyAlignment="1">
      <alignment horizontal="center" vertical="center"/>
    </xf>
    <xf numFmtId="0" fontId="56" fillId="0" borderId="0" xfId="17"/>
    <xf numFmtId="0" fontId="120" fillId="0" borderId="0" xfId="17" applyFont="1"/>
    <xf numFmtId="0" fontId="101" fillId="0" borderId="0" xfId="0" applyFont="1">
      <alignment vertical="center"/>
    </xf>
    <xf numFmtId="0" fontId="101" fillId="0" borderId="0" xfId="0" applyFont="1" applyAlignment="1"/>
    <xf numFmtId="0" fontId="113" fillId="9" borderId="1" xfId="0" applyFont="1" applyFill="1" applyBorder="1" applyAlignment="1">
      <alignment horizontal="center" vertical="center"/>
    </xf>
    <xf numFmtId="14" fontId="113" fillId="9" borderId="1" xfId="0" applyNumberFormat="1" applyFont="1" applyFill="1" applyBorder="1" applyAlignment="1">
      <alignment horizontal="center" vertical="center"/>
    </xf>
    <xf numFmtId="186" fontId="113" fillId="9" borderId="1" xfId="0" applyNumberFormat="1" applyFont="1" applyFill="1" applyBorder="1" applyAlignment="1">
      <alignment horizontal="center" vertical="center"/>
    </xf>
    <xf numFmtId="176" fontId="113" fillId="9" borderId="1" xfId="0" applyNumberFormat="1" applyFont="1" applyFill="1" applyBorder="1" applyAlignment="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13" fillId="0" borderId="1" xfId="0" applyFont="1" applyBorder="1" applyAlignment="1">
      <alignment horizontal="center" vertical="center" wrapText="1"/>
    </xf>
    <xf numFmtId="0" fontId="113" fillId="0" borderId="0" xfId="0" applyFont="1" applyAlignment="1">
      <alignment vertical="center" wrapText="1"/>
    </xf>
    <xf numFmtId="0" fontId="113" fillId="0" borderId="1" xfId="0" applyFont="1" applyBorder="1" applyAlignment="1">
      <alignment horizontal="center" vertical="center"/>
    </xf>
    <xf numFmtId="0" fontId="113" fillId="0" borderId="0" xfId="0" applyFont="1">
      <alignment vertical="center"/>
    </xf>
    <xf numFmtId="0" fontId="56" fillId="0" borderId="1" xfId="0" applyFont="1" applyBorder="1" applyAlignment="1">
      <alignment horizontal="center" vertical="center"/>
    </xf>
    <xf numFmtId="0" fontId="113" fillId="18" borderId="1" xfId="0" applyFont="1" applyFill="1" applyBorder="1" applyAlignment="1">
      <alignment horizontal="center" vertical="center"/>
    </xf>
    <xf numFmtId="0" fontId="113" fillId="18" borderId="1" xfId="0" applyFont="1" applyFill="1" applyBorder="1" applyAlignment="1">
      <alignment horizontal="center" vertical="center" wrapText="1"/>
    </xf>
    <xf numFmtId="0" fontId="113" fillId="18" borderId="0" xfId="0" applyFont="1" applyFill="1">
      <alignment vertical="center"/>
    </xf>
    <xf numFmtId="0" fontId="113" fillId="0" borderId="1" xfId="0" applyFont="1" applyFill="1" applyBorder="1" applyAlignment="1">
      <alignment horizontal="center" vertical="center"/>
    </xf>
    <xf numFmtId="0" fontId="113" fillId="0" borderId="1" xfId="0" applyFont="1" applyFill="1" applyBorder="1" applyAlignment="1">
      <alignment horizontal="center" vertical="center" wrapText="1"/>
    </xf>
    <xf numFmtId="0" fontId="113" fillId="0" borderId="0" xfId="0" applyFont="1" applyFill="1">
      <alignment vertical="center"/>
    </xf>
    <xf numFmtId="0" fontId="113" fillId="9" borderId="1" xfId="0" applyFont="1" applyFill="1" applyBorder="1" applyAlignment="1">
      <alignment horizontal="center" vertical="center" wrapText="1"/>
    </xf>
    <xf numFmtId="0" fontId="113" fillId="9" borderId="0" xfId="0" applyFont="1" applyFill="1">
      <alignment vertical="center"/>
    </xf>
    <xf numFmtId="0" fontId="113" fillId="0" borderId="0" xfId="0" applyFont="1" applyAlignment="1">
      <alignment horizontal="center" vertical="center" wrapText="1"/>
    </xf>
    <xf numFmtId="0" fontId="113"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49" fontId="61" fillId="0" borderId="4" xfId="0" applyNumberFormat="1" applyFont="1" applyFill="1" applyBorder="1" applyAlignment="1" applyProtection="1">
      <alignment horizontal="left" vertical="center"/>
      <protection locked="0"/>
    </xf>
    <xf numFmtId="0" fontId="255" fillId="0" borderId="82" xfId="0" applyFont="1" applyBorder="1" applyAlignment="1">
      <alignment horizontal="center" vertical="center" wrapText="1"/>
    </xf>
    <xf numFmtId="0" fontId="255" fillId="0" borderId="65" xfId="0" applyFont="1" applyBorder="1" applyAlignment="1">
      <alignment horizontal="center" vertical="center" wrapText="1"/>
    </xf>
    <xf numFmtId="0" fontId="256" fillId="0" borderId="43" xfId="0" applyFont="1" applyBorder="1" applyAlignment="1">
      <alignment horizontal="center" vertical="center" wrapText="1"/>
    </xf>
    <xf numFmtId="4" fontId="256" fillId="0" borderId="43" xfId="0" applyNumberFormat="1" applyFont="1" applyBorder="1" applyAlignment="1">
      <alignment horizontal="right" vertical="center" wrapText="1"/>
    </xf>
    <xf numFmtId="0" fontId="255" fillId="0" borderId="43" xfId="0" applyFont="1" applyBorder="1" applyAlignment="1">
      <alignment horizontal="center" vertical="center" wrapText="1"/>
    </xf>
    <xf numFmtId="0" fontId="255" fillId="0" borderId="81" xfId="0" applyFont="1" applyBorder="1" applyAlignment="1">
      <alignment horizontal="center" vertical="center" wrapText="1"/>
    </xf>
    <xf numFmtId="3" fontId="256" fillId="0" borderId="43" xfId="0" applyNumberFormat="1" applyFont="1" applyBorder="1" applyAlignment="1">
      <alignment horizontal="right" vertical="center" wrapText="1"/>
    </xf>
    <xf numFmtId="4" fontId="0" fillId="0" borderId="0" xfId="0" applyNumberFormat="1">
      <alignment vertical="center"/>
    </xf>
    <xf numFmtId="0" fontId="99" fillId="0" borderId="0" xfId="0" applyFont="1">
      <alignment vertical="center"/>
    </xf>
    <xf numFmtId="0" fontId="99" fillId="0" borderId="0" xfId="0" applyFont="1" applyFill="1" applyBorder="1">
      <alignment vertical="center"/>
    </xf>
    <xf numFmtId="31" fontId="0" fillId="0" borderId="0" xfId="0" applyNumberFormat="1">
      <alignment vertical="center"/>
    </xf>
    <xf numFmtId="0" fontId="124" fillId="9" borderId="1" xfId="0" applyFont="1" applyFill="1" applyBorder="1" applyAlignment="1">
      <alignment horizontal="center" vertical="center"/>
    </xf>
    <xf numFmtId="0" fontId="0" fillId="0" borderId="0" xfId="0" applyNumberFormat="1">
      <alignment vertical="center"/>
    </xf>
    <xf numFmtId="14" fontId="0" fillId="0" borderId="0" xfId="0" applyNumberFormat="1">
      <alignment vertical="center"/>
    </xf>
    <xf numFmtId="0" fontId="124" fillId="5" borderId="1" xfId="0" applyFont="1" applyFill="1" applyBorder="1" applyAlignment="1">
      <alignment horizontal="center" vertical="center"/>
    </xf>
    <xf numFmtId="0" fontId="99" fillId="0" borderId="1" xfId="0" applyFont="1" applyBorder="1" applyAlignment="1">
      <alignment horizontal="center" vertical="center"/>
    </xf>
    <xf numFmtId="2" fontId="0" fillId="0" borderId="0" xfId="0" applyNumberFormat="1">
      <alignment vertical="center"/>
    </xf>
    <xf numFmtId="0" fontId="99" fillId="18" borderId="1" xfId="0" applyFont="1" applyFill="1" applyBorder="1" applyAlignment="1">
      <alignment horizontal="center" vertical="center"/>
    </xf>
    <xf numFmtId="0" fontId="0" fillId="18" borderId="1" xfId="0" applyFill="1" applyBorder="1" applyAlignment="1">
      <alignment horizontal="center" vertical="center"/>
    </xf>
    <xf numFmtId="0" fontId="99" fillId="0" borderId="1" xfId="0" applyFont="1" applyFill="1" applyBorder="1" applyAlignment="1">
      <alignment horizontal="left" vertical="center"/>
    </xf>
    <xf numFmtId="0" fontId="99" fillId="0" borderId="1" xfId="0" applyFont="1" applyFill="1" applyBorder="1" applyAlignment="1">
      <alignment horizontal="left" vertical="center" wrapText="1"/>
    </xf>
    <xf numFmtId="0" fontId="99" fillId="0" borderId="1" xfId="0" applyFont="1" applyFill="1" applyBorder="1">
      <alignment vertical="center"/>
    </xf>
    <xf numFmtId="0" fontId="99" fillId="0" borderId="2" xfId="0" applyFont="1" applyFill="1" applyBorder="1" applyAlignment="1">
      <alignment horizontal="left" vertical="center"/>
    </xf>
    <xf numFmtId="0" fontId="99" fillId="0" borderId="0" xfId="0" applyFont="1" applyAlignment="1">
      <alignment horizontal="center" vertical="center"/>
    </xf>
    <xf numFmtId="0" fontId="0" fillId="0" borderId="0" xfId="0" applyAlignment="1">
      <alignment horizontal="center" vertical="center"/>
    </xf>
    <xf numFmtId="0" fontId="99" fillId="0" borderId="1" xfId="0" applyNumberFormat="1" applyFont="1" applyBorder="1" applyAlignment="1"/>
    <xf numFmtId="0" fontId="0" fillId="0" borderId="1" xfId="0" applyNumberFormat="1" applyBorder="1" applyAlignment="1"/>
    <xf numFmtId="0" fontId="99" fillId="0" borderId="1" xfId="0" applyNumberFormat="1" applyFont="1" applyBorder="1" applyAlignment="1">
      <alignment horizont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xf>
    <xf numFmtId="0" fontId="99" fillId="0" borderId="1" xfId="0" applyNumberFormat="1" applyFont="1" applyFill="1" applyBorder="1" applyAlignment="1">
      <alignment horizontal="center"/>
    </xf>
    <xf numFmtId="0" fontId="0" fillId="9" borderId="1" xfId="0" applyNumberFormat="1" applyFill="1" applyBorder="1" applyAlignment="1">
      <alignment horizontal="center"/>
    </xf>
    <xf numFmtId="0" fontId="0" fillId="0" borderId="35" xfId="0" applyFont="1" applyFill="1" applyBorder="1" applyAlignment="1">
      <alignment horizontal="center" vertical="center"/>
    </xf>
    <xf numFmtId="0" fontId="0" fillId="0" borderId="1" xfId="0" applyFont="1" applyFill="1" applyBorder="1" applyAlignment="1">
      <alignment horizontal="center" vertical="center"/>
    </xf>
    <xf numFmtId="0" fontId="99" fillId="0" borderId="1" xfId="0" applyFont="1" applyFill="1" applyBorder="1" applyAlignment="1">
      <alignment horizontal="center" vertical="center"/>
    </xf>
    <xf numFmtId="0" fontId="0" fillId="0" borderId="1" xfId="0" applyBorder="1">
      <alignment vertical="center"/>
    </xf>
    <xf numFmtId="0" fontId="99" fillId="0" borderId="0" xfId="0" applyFont="1" applyFill="1" applyBorder="1" applyAlignment="1">
      <alignment horizontal="center" vertical="center"/>
    </xf>
    <xf numFmtId="41" fontId="257" fillId="0" borderId="60" xfId="0" applyNumberFormat="1" applyFont="1" applyBorder="1" applyAlignment="1">
      <alignment vertical="center"/>
    </xf>
    <xf numFmtId="41" fontId="258" fillId="0" borderId="60" xfId="0" applyNumberFormat="1" applyFont="1" applyBorder="1" applyAlignment="1">
      <alignment horizontal="center" vertical="center"/>
    </xf>
    <xf numFmtId="186" fontId="258" fillId="0" borderId="60" xfId="0" applyNumberFormat="1" applyFont="1" applyBorder="1" applyAlignment="1">
      <alignment horizontal="center" vertical="center"/>
    </xf>
    <xf numFmtId="197" fontId="258" fillId="0" borderId="60" xfId="0" applyNumberFormat="1" applyFont="1" applyBorder="1" applyAlignment="1">
      <alignment horizontal="center" vertical="center"/>
    </xf>
    <xf numFmtId="41" fontId="258" fillId="0" borderId="0" xfId="0" applyNumberFormat="1" applyFont="1" applyFill="1" applyBorder="1" applyAlignment="1">
      <alignment horizontal="center" vertical="center"/>
    </xf>
    <xf numFmtId="41" fontId="56" fillId="19" borderId="1" xfId="0" applyNumberFormat="1" applyFont="1" applyFill="1" applyBorder="1" applyAlignment="1">
      <alignment horizontal="center" vertical="center"/>
    </xf>
    <xf numFmtId="186" fontId="56" fillId="19" borderId="1" xfId="0" applyNumberFormat="1" applyFont="1" applyFill="1" applyBorder="1" applyAlignment="1">
      <alignment horizontal="center" vertical="center"/>
    </xf>
    <xf numFmtId="197" fontId="56" fillId="19" borderId="1" xfId="0" applyNumberFormat="1" applyFont="1" applyFill="1" applyBorder="1" applyAlignment="1">
      <alignment horizontal="center" vertical="center"/>
    </xf>
    <xf numFmtId="197" fontId="56" fillId="0" borderId="0" xfId="0" applyNumberFormat="1" applyFont="1" applyFill="1" applyBorder="1" applyAlignment="1">
      <alignment horizontal="center" vertical="center"/>
    </xf>
    <xf numFmtId="41" fontId="57" fillId="0" borderId="0" xfId="0" applyNumberFormat="1" applyFont="1" applyFill="1" applyBorder="1" applyAlignment="1">
      <alignment horizontal="center" vertical="center" wrapText="1"/>
    </xf>
    <xf numFmtId="41" fontId="56" fillId="0" borderId="0" xfId="0" applyNumberFormat="1" applyFont="1" applyFill="1" applyBorder="1" applyAlignment="1">
      <alignment horizontal="center" vertical="center" wrapText="1"/>
    </xf>
    <xf numFmtId="198" fontId="56" fillId="19" borderId="1" xfId="0" applyNumberFormat="1" applyFont="1" applyFill="1" applyBorder="1" applyAlignment="1">
      <alignment horizontal="center" vertical="center"/>
    </xf>
    <xf numFmtId="198" fontId="56" fillId="0" borderId="0" xfId="0" applyNumberFormat="1" applyFont="1" applyFill="1" applyBorder="1" applyAlignment="1">
      <alignment horizontal="center" vertical="center"/>
    </xf>
    <xf numFmtId="14" fontId="113" fillId="0" borderId="1" xfId="0" applyNumberFormat="1" applyFont="1" applyFill="1" applyBorder="1" applyAlignment="1">
      <alignment horizontal="center" vertical="center"/>
    </xf>
    <xf numFmtId="186" fontId="113" fillId="0" borderId="1" xfId="0" applyNumberFormat="1" applyFont="1" applyFill="1" applyBorder="1" applyAlignment="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179" fontId="113" fillId="0" borderId="0" xfId="0" applyNumberFormat="1" applyFont="1" applyFill="1" applyBorder="1" applyAlignment="1">
      <alignment horizontal="center" vertical="center"/>
    </xf>
    <xf numFmtId="176" fontId="113" fillId="0" borderId="0" xfId="0" applyNumberFormat="1" applyFont="1" applyFill="1" applyBorder="1" applyAlignment="1">
      <alignment horizontal="center" vertical="center"/>
    </xf>
    <xf numFmtId="179" fontId="0" fillId="0" borderId="0" xfId="0" applyNumberFormat="1">
      <alignment vertical="center"/>
    </xf>
    <xf numFmtId="41" fontId="56" fillId="21" borderId="13" xfId="0" applyNumberFormat="1" applyFont="1" applyFill="1" applyBorder="1" applyAlignment="1">
      <alignment horizontal="center" vertical="center"/>
    </xf>
    <xf numFmtId="198" fontId="56" fillId="21" borderId="13" xfId="0" applyNumberFormat="1" applyFont="1" applyFill="1" applyBorder="1" applyAlignment="1">
      <alignment horizontal="center" vertical="center"/>
    </xf>
    <xf numFmtId="0" fontId="113" fillId="0" borderId="0" xfId="0" applyFont="1" applyFill="1" applyAlignment="1">
      <alignment horizontal="center" vertical="center"/>
    </xf>
    <xf numFmtId="0" fontId="257" fillId="0" borderId="60" xfId="0" applyNumberFormat="1" applyFont="1" applyBorder="1" applyAlignment="1">
      <alignment horizontal="center" vertical="center"/>
    </xf>
    <xf numFmtId="0" fontId="258" fillId="0" borderId="60" xfId="0" applyNumberFormat="1" applyFont="1" applyBorder="1" applyAlignment="1">
      <alignment horizontal="center" vertical="center"/>
    </xf>
    <xf numFmtId="0" fontId="84" fillId="20" borderId="54" xfId="0" applyNumberFormat="1" applyFont="1" applyFill="1" applyBorder="1" applyAlignment="1">
      <alignment horizontal="center" vertical="center" wrapText="1"/>
    </xf>
    <xf numFmtId="0" fontId="113" fillId="7" borderId="1" xfId="0" applyNumberFormat="1" applyFont="1" applyFill="1" applyBorder="1" applyAlignment="1">
      <alignment horizontal="center" vertical="center"/>
    </xf>
    <xf numFmtId="0" fontId="113" fillId="0" borderId="1" xfId="0" applyNumberFormat="1" applyFont="1" applyBorder="1" applyAlignment="1">
      <alignment horizontal="center" vertical="center"/>
    </xf>
    <xf numFmtId="0" fontId="113" fillId="0" borderId="1" xfId="0" applyNumberFormat="1" applyFont="1" applyFill="1" applyBorder="1" applyAlignment="1">
      <alignment horizontal="center" vertical="center"/>
    </xf>
    <xf numFmtId="0" fontId="99" fillId="0" borderId="0" xfId="0" applyNumberFormat="1" applyFont="1">
      <alignment vertical="center"/>
    </xf>
    <xf numFmtId="0" fontId="56" fillId="21" borderId="1" xfId="0" applyNumberFormat="1" applyFont="1" applyFill="1" applyBorder="1" applyAlignment="1">
      <alignment horizontal="center" vertical="center"/>
    </xf>
    <xf numFmtId="0" fontId="113" fillId="0" borderId="0" xfId="0" applyNumberFormat="1" applyFont="1" applyAlignment="1">
      <alignment horizontal="center" vertical="center"/>
    </xf>
    <xf numFmtId="0" fontId="170" fillId="0" borderId="1" xfId="12" applyBorder="1" applyAlignment="1" applyProtection="1">
      <alignment vertical="center"/>
      <protection locked="0"/>
    </xf>
    <xf numFmtId="0" fontId="260" fillId="0" borderId="160" xfId="0" applyFont="1" applyBorder="1" applyAlignment="1">
      <alignment vertical="center" wrapText="1"/>
    </xf>
    <xf numFmtId="0" fontId="260" fillId="0" borderId="159" xfId="0" applyFont="1" applyBorder="1" applyAlignment="1">
      <alignment vertical="center" wrapText="1"/>
    </xf>
    <xf numFmtId="0" fontId="256" fillId="0" borderId="160" xfId="0" applyFont="1" applyBorder="1" applyAlignment="1">
      <alignment vertical="center" wrapText="1"/>
    </xf>
    <xf numFmtId="0" fontId="261" fillId="0" borderId="160" xfId="0" applyFont="1" applyBorder="1" applyAlignment="1">
      <alignment vertical="center" wrapText="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 fontId="54" fillId="0" borderId="6"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76" fontId="137" fillId="0"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171" fillId="0" borderId="1" xfId="12" applyFont="1" applyBorder="1" applyAlignment="1" applyProtection="1">
      <alignment horizontal="center" vertical="center" wrapText="1"/>
      <protection locked="0"/>
    </xf>
    <xf numFmtId="0" fontId="99" fillId="0" borderId="1" xfId="12" applyFont="1" applyFill="1" applyBorder="1" applyAlignment="1" applyProtection="1">
      <alignment horizontal="center"/>
      <protection locked="0"/>
    </xf>
    <xf numFmtId="0" fontId="100" fillId="0" borderId="1" xfId="0" applyFont="1" applyBorder="1" applyAlignment="1">
      <alignment horizontal="center" vertical="center"/>
    </xf>
    <xf numFmtId="0" fontId="264" fillId="0" borderId="1" xfId="12" applyFont="1" applyFill="1" applyBorder="1" applyAlignment="1">
      <alignment horizontal="center" vertical="center" wrapText="1"/>
    </xf>
    <xf numFmtId="0" fontId="100" fillId="0" borderId="1" xfId="12" applyFont="1" applyFill="1" applyBorder="1" applyAlignment="1" applyProtection="1">
      <alignment horizontal="center" vertical="center"/>
      <protection locked="0"/>
    </xf>
    <xf numFmtId="0" fontId="260" fillId="0" borderId="159" xfId="0" applyFont="1" applyBorder="1" applyAlignment="1">
      <alignment vertical="center" wrapText="1"/>
    </xf>
    <xf numFmtId="0" fontId="256" fillId="0" borderId="160" xfId="0"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6" fillId="0" borderId="27" xfId="0" applyFont="1" applyBorder="1" applyAlignment="1">
      <alignment horizontal="center" vertical="center" wrapText="1"/>
    </xf>
    <xf numFmtId="0" fontId="256" fillId="0" borderId="81" xfId="0" applyFont="1" applyBorder="1" applyAlignment="1">
      <alignment horizontal="center" vertical="center" wrapText="1"/>
    </xf>
    <xf numFmtId="3" fontId="256" fillId="0" borderId="27" xfId="0" applyNumberFormat="1" applyFont="1" applyBorder="1" applyAlignment="1">
      <alignment horizontal="right" vertical="center" wrapText="1"/>
    </xf>
    <xf numFmtId="3" fontId="256" fillId="0" borderId="81" xfId="0" applyNumberFormat="1" applyFont="1" applyBorder="1" applyAlignment="1">
      <alignment horizontal="right" vertical="center" wrapText="1"/>
    </xf>
    <xf numFmtId="4" fontId="256" fillId="0" borderId="27" xfId="0" applyNumberFormat="1" applyFont="1" applyBorder="1" applyAlignment="1">
      <alignment horizontal="right" vertical="center" wrapText="1"/>
    </xf>
    <xf numFmtId="4" fontId="256" fillId="0" borderId="81" xfId="0" applyNumberFormat="1" applyFont="1" applyBorder="1" applyAlignment="1">
      <alignment horizontal="right"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99" fillId="0" borderId="1" xfId="0" applyFont="1" applyFill="1" applyBorder="1" applyAlignment="1">
      <alignment horizontal="center" vertical="center"/>
    </xf>
    <xf numFmtId="0" fontId="99" fillId="0" borderId="5" xfId="0" applyFont="1" applyFill="1" applyBorder="1" applyAlignment="1">
      <alignment horizontal="center" vertical="center"/>
    </xf>
    <xf numFmtId="0" fontId="99" fillId="0" borderId="54" xfId="0" applyFont="1" applyFill="1" applyBorder="1" applyAlignment="1">
      <alignment horizontal="center" vertical="center"/>
    </xf>
    <xf numFmtId="0" fontId="99" fillId="0" borderId="3" xfId="0" applyFont="1" applyFill="1" applyBorder="1" applyAlignment="1">
      <alignment horizontal="center" vertical="center"/>
    </xf>
    <xf numFmtId="0" fontId="0" fillId="0" borderId="3" xfId="0" applyBorder="1" applyAlignment="1">
      <alignment horizontal="center" vertical="center"/>
    </xf>
    <xf numFmtId="41" fontId="57" fillId="20" borderId="1" xfId="0" applyNumberFormat="1" applyFont="1" applyFill="1" applyBorder="1" applyAlignment="1">
      <alignment horizontal="center" vertical="center" wrapText="1"/>
    </xf>
    <xf numFmtId="41" fontId="56" fillId="0" borderId="1" xfId="0" applyNumberFormat="1" applyFont="1" applyBorder="1" applyAlignment="1">
      <alignment horizontal="center" vertical="center" wrapText="1"/>
    </xf>
    <xf numFmtId="41" fontId="84" fillId="20" borderId="13" xfId="0" applyNumberFormat="1" applyFont="1" applyFill="1" applyBorder="1" applyAlignment="1">
      <alignment horizontal="center" vertical="center" wrapText="1"/>
    </xf>
    <xf numFmtId="41" fontId="84" fillId="20" borderId="15" xfId="0" applyNumberFormat="1" applyFont="1" applyFill="1" applyBorder="1" applyAlignment="1">
      <alignment horizontal="center" vertical="center" wrapText="1"/>
    </xf>
    <xf numFmtId="41" fontId="84" fillId="20" borderId="2" xfId="0" applyNumberFormat="1" applyFont="1" applyFill="1" applyBorder="1" applyAlignment="1">
      <alignment horizontal="center" vertical="center" wrapText="1"/>
    </xf>
    <xf numFmtId="41" fontId="57" fillId="20" borderId="15" xfId="0" applyNumberFormat="1" applyFont="1" applyFill="1" applyBorder="1" applyAlignment="1">
      <alignment horizontal="center" vertical="center" wrapText="1"/>
    </xf>
    <xf numFmtId="41" fontId="57" fillId="20" borderId="2" xfId="0" applyNumberFormat="1" applyFont="1" applyFill="1" applyBorder="1" applyAlignment="1">
      <alignment horizontal="center" vertical="center" wrapText="1"/>
    </xf>
    <xf numFmtId="186" fontId="57" fillId="20" borderId="1" xfId="0" applyNumberFormat="1" applyFont="1" applyFill="1" applyBorder="1" applyAlignment="1">
      <alignment horizontal="center" vertical="center" wrapText="1"/>
    </xf>
    <xf numFmtId="186" fontId="84" fillId="20" borderId="13" xfId="0" applyNumberFormat="1" applyFont="1" applyFill="1" applyBorder="1" applyAlignment="1">
      <alignment horizontal="center" vertical="center" wrapText="1"/>
    </xf>
    <xf numFmtId="186" fontId="57" fillId="20" borderId="15" xfId="0" applyNumberFormat="1" applyFont="1" applyFill="1" applyBorder="1" applyAlignment="1">
      <alignment horizontal="center" vertical="center" wrapText="1"/>
    </xf>
    <xf numFmtId="186" fontId="57" fillId="20" borderId="2" xfId="0" applyNumberFormat="1" applyFont="1" applyFill="1" applyBorder="1" applyAlignment="1">
      <alignment horizontal="center" vertical="center" wrapText="1"/>
    </xf>
    <xf numFmtId="41" fontId="84" fillId="20" borderId="1" xfId="0" applyNumberFormat="1" applyFont="1" applyFill="1" applyBorder="1" applyAlignment="1">
      <alignment horizontal="center" vertical="center" wrapText="1"/>
    </xf>
    <xf numFmtId="0" fontId="84" fillId="20" borderId="13" xfId="0" applyNumberFormat="1" applyFont="1" applyFill="1" applyBorder="1" applyAlignment="1">
      <alignment horizontal="center" vertical="center" wrapText="1"/>
    </xf>
    <xf numFmtId="0" fontId="84" fillId="20" borderId="15" xfId="0" applyNumberFormat="1" applyFont="1" applyFill="1" applyBorder="1" applyAlignment="1">
      <alignment horizontal="center" vertical="center" wrapText="1"/>
    </xf>
    <xf numFmtId="0" fontId="84" fillId="20" borderId="2" xfId="0" applyNumberFormat="1" applyFont="1" applyFill="1" applyBorder="1" applyAlignment="1">
      <alignment horizontal="center" vertical="center" wrapText="1"/>
    </xf>
    <xf numFmtId="0" fontId="57" fillId="20" borderId="13" xfId="0" applyNumberFormat="1" applyFont="1" applyFill="1" applyBorder="1" applyAlignment="1">
      <alignment horizontal="center" vertical="center" wrapText="1"/>
    </xf>
    <xf numFmtId="0" fontId="57" fillId="20" borderId="15" xfId="0" applyNumberFormat="1" applyFont="1" applyFill="1" applyBorder="1" applyAlignment="1">
      <alignment horizontal="center" vertical="center" wrapText="1"/>
    </xf>
    <xf numFmtId="0" fontId="57" fillId="20" borderId="2" xfId="0" applyNumberFormat="1" applyFont="1" applyFill="1" applyBorder="1" applyAlignment="1">
      <alignment horizontal="center" vertical="center" wrapText="1"/>
    </xf>
    <xf numFmtId="0" fontId="260" fillId="0" borderId="156" xfId="0" applyFont="1" applyBorder="1" applyAlignment="1">
      <alignment vertical="center" wrapText="1"/>
    </xf>
    <xf numFmtId="0" fontId="260" fillId="0" borderId="159" xfId="0" applyFont="1" applyBorder="1" applyAlignment="1">
      <alignment vertical="center" wrapText="1"/>
    </xf>
    <xf numFmtId="0" fontId="256" fillId="0" borderId="156" xfId="0" applyFont="1" applyBorder="1" applyAlignment="1">
      <alignment vertical="center" wrapText="1"/>
    </xf>
    <xf numFmtId="0" fontId="256" fillId="0" borderId="159" xfId="0" applyFont="1" applyBorder="1" applyAlignment="1">
      <alignment vertical="center" wrapText="1"/>
    </xf>
    <xf numFmtId="0" fontId="260" fillId="0" borderId="157" xfId="0" applyFont="1" applyBorder="1" applyAlignment="1">
      <alignment vertical="center" wrapText="1"/>
    </xf>
    <xf numFmtId="0" fontId="260" fillId="0" borderId="158"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60" fillId="0" borderId="161" xfId="0" applyFont="1" applyBorder="1" applyAlignment="1">
      <alignment vertical="center" wrapText="1"/>
    </xf>
    <xf numFmtId="0" fontId="260" fillId="0" borderId="163" xfId="0" applyFont="1" applyBorder="1" applyAlignment="1">
      <alignment vertical="center" wrapText="1"/>
    </xf>
    <xf numFmtId="0" fontId="260" fillId="0" borderId="162" xfId="0" applyFont="1" applyBorder="1" applyAlignment="1">
      <alignment vertical="center" wrapText="1"/>
    </xf>
    <xf numFmtId="182" fontId="256" fillId="0" borderId="161" xfId="0" applyNumberFormat="1" applyFont="1" applyBorder="1" applyAlignment="1">
      <alignment vertical="center" wrapText="1"/>
    </xf>
    <xf numFmtId="182" fontId="256" fillId="0" borderId="162" xfId="0" applyNumberFormat="1" applyFont="1" applyBorder="1" applyAlignment="1">
      <alignment vertical="center" wrapText="1"/>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0" fontId="256" fillId="0" borderId="163" xfId="0" applyFont="1" applyBorder="1" applyAlignment="1">
      <alignment vertical="center" wrapText="1"/>
    </xf>
    <xf numFmtId="0" fontId="260" fillId="0" borderId="164"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182" fontId="256" fillId="0" borderId="164" xfId="0" applyNumberFormat="1" applyFont="1" applyBorder="1" applyAlignment="1">
      <alignment vertical="center" wrapText="1"/>
    </xf>
    <xf numFmtId="182" fontId="256" fillId="0" borderId="165" xfId="0" applyNumberFormat="1" applyFont="1" applyBorder="1" applyAlignment="1">
      <alignment vertical="center" wrapText="1"/>
    </xf>
    <xf numFmtId="182" fontId="256" fillId="0" borderId="166" xfId="0" applyNumberFormat="1" applyFont="1" applyBorder="1" applyAlignment="1">
      <alignment vertical="center" wrapText="1"/>
    </xf>
    <xf numFmtId="0" fontId="260" fillId="0" borderId="167" xfId="0" applyFont="1" applyBorder="1" applyAlignment="1">
      <alignment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99" fillId="0" borderId="13" xfId="12" applyFont="1" applyFill="1" applyBorder="1" applyAlignment="1" applyProtection="1">
      <alignment horizontal="center" vertical="center"/>
      <protection locked="0"/>
    </xf>
    <xf numFmtId="0" fontId="99" fillId="0" borderId="15" xfId="12" applyFont="1" applyFill="1" applyBorder="1" applyAlignment="1" applyProtection="1">
      <alignment horizontal="center" vertical="center"/>
      <protection locked="0"/>
    </xf>
    <xf numFmtId="0" fontId="99" fillId="0" borderId="2" xfId="12" applyFont="1" applyFill="1" applyBorder="1" applyAlignment="1" applyProtection="1">
      <alignment horizontal="center" vertical="center"/>
      <protection locked="0"/>
    </xf>
    <xf numFmtId="0" fontId="128" fillId="0" borderId="1" xfId="0" applyFont="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63" fillId="0" borderId="3" xfId="0" applyFont="1" applyFill="1" applyBorder="1" applyAlignment="1" applyProtection="1">
      <alignment horizontal="center" vertical="center" wrapText="1"/>
      <protection locked="0"/>
    </xf>
    <xf numFmtId="0" fontId="263"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61" xfId="0" applyFont="1" applyBorder="1" applyAlignment="1">
      <alignment horizontal="center" vertical="center" wrapText="1"/>
    </xf>
    <xf numFmtId="0" fontId="256" fillId="0" borderId="162" xfId="0" applyFont="1" applyBorder="1" applyAlignment="1">
      <alignment horizontal="center" vertical="center" wrapText="1"/>
    </xf>
    <xf numFmtId="182" fontId="256" fillId="0" borderId="161" xfId="0" applyNumberFormat="1" applyFont="1" applyBorder="1" applyAlignment="1">
      <alignment horizontal="center" vertical="center" wrapText="1"/>
    </xf>
    <xf numFmtId="182" fontId="256" fillId="0" borderId="162" xfId="0" applyNumberFormat="1" applyFont="1" applyBorder="1" applyAlignment="1">
      <alignment horizontal="center" vertical="center" wrapText="1"/>
    </xf>
    <xf numFmtId="182" fontId="265" fillId="0" borderId="161" xfId="0" applyNumberFormat="1" applyFont="1" applyBorder="1" applyAlignment="1">
      <alignment horizontal="center" vertical="center" wrapText="1"/>
    </xf>
    <xf numFmtId="182" fontId="265" fillId="0" borderId="162" xfId="0" applyNumberFormat="1" applyFont="1" applyBorder="1" applyAlignment="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lor indexed="20"/>
      </font>
      <fill>
        <patternFill patternType="solid">
          <bgColor indexed="45"/>
        </patternFill>
      </fill>
    </dxf>
    <dxf>
      <font>
        <b val="0"/>
        <color indexed="20"/>
      </font>
      <fill>
        <patternFill patternType="solid">
          <bgColor indexed="45"/>
        </patternFill>
      </fill>
    </dxf>
    <dxf>
      <font>
        <color rgb="FF9C0006"/>
      </font>
      <fill>
        <patternFill patternType="solid">
          <bgColor rgb="FFFFC7CE"/>
        </patternFill>
      </fill>
    </dxf>
    <dxf>
      <font>
        <b val="0"/>
        <color indexed="20"/>
      </font>
      <fill>
        <patternFill patternType="solid">
          <bgColor indexed="45"/>
        </patternFill>
      </fill>
    </dxf>
    <dxf>
      <font>
        <b val="0"/>
        <color indexed="20"/>
      </font>
      <fill>
        <patternFill patternType="solid">
          <bgColor indexed="45"/>
        </patternFill>
      </fill>
    </dxf>
    <dxf>
      <font>
        <b val="0"/>
        <color indexed="20"/>
      </font>
      <fill>
        <patternFill patternType="solid">
          <bgColor indexed="45"/>
        </patternFill>
      </fill>
    </dxf>
    <dxf>
      <font>
        <b val="0"/>
        <color indexed="20"/>
      </font>
      <fill>
        <patternFill patternType="solid">
          <bgColor indexed="45"/>
        </patternFill>
      </fill>
    </dxf>
    <dxf>
      <font>
        <color rgb="FF9C0006"/>
      </font>
      <fill>
        <patternFill patternType="solid">
          <bgColor rgb="FFFFC7CE"/>
        </patternFill>
      </fill>
    </dxf>
    <dxf>
      <font>
        <b val="0"/>
        <color indexed="20"/>
      </font>
      <fill>
        <patternFill patternType="solid">
          <bgColor indexed="45"/>
        </patternFill>
      </fill>
    </dxf>
    <dxf>
      <font>
        <b val="0"/>
        <color indexed="20"/>
      </font>
      <fill>
        <patternFill patternType="solid">
          <bgColor indexed="45"/>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5</xdr:col>
      <xdr:colOff>790575</xdr:colOff>
      <xdr:row>69</xdr:row>
      <xdr:rowOff>110456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9525"/>
          <a:ext cx="7077075" cy="5292056"/>
        </a:xfrm>
        <a:prstGeom prst="rect">
          <a:avLst/>
        </a:prstGeom>
      </xdr:spPr>
    </xdr:pic>
    <xdr:clientData/>
  </xdr:twoCellAnchor>
  <xdr:twoCellAnchor editAs="oneCell">
    <xdr:from>
      <xdr:col>0</xdr:col>
      <xdr:colOff>0</xdr:colOff>
      <xdr:row>71</xdr:row>
      <xdr:rowOff>0</xdr:rowOff>
    </xdr:from>
    <xdr:to>
      <xdr:col>5</xdr:col>
      <xdr:colOff>993123</xdr:colOff>
      <xdr:row>101</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305925"/>
          <a:ext cx="7279623" cy="4676775"/>
        </a:xfrm>
        <a:prstGeom prst="rect">
          <a:avLst/>
        </a:prstGeom>
      </xdr:spPr>
    </xdr:pic>
    <xdr:clientData/>
  </xdr:twoCellAnchor>
  <xdr:twoCellAnchor editAs="oneCell">
    <xdr:from>
      <xdr:col>5</xdr:col>
      <xdr:colOff>1085851</xdr:colOff>
      <xdr:row>75</xdr:row>
      <xdr:rowOff>9525</xdr:rowOff>
    </xdr:from>
    <xdr:to>
      <xdr:col>10</xdr:col>
      <xdr:colOff>533232</xdr:colOff>
      <xdr:row>93</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372351" y="9925050"/>
          <a:ext cx="4505156" cy="2771775"/>
        </a:xfrm>
        <a:prstGeom prst="rect">
          <a:avLst/>
        </a:prstGeom>
      </xdr:spPr>
    </xdr:pic>
    <xdr:clientData/>
  </xdr:twoCellAnchor>
  <xdr:twoCellAnchor editAs="oneCell">
    <xdr:from>
      <xdr:col>0</xdr:col>
      <xdr:colOff>0</xdr:colOff>
      <xdr:row>103</xdr:row>
      <xdr:rowOff>0</xdr:rowOff>
    </xdr:from>
    <xdr:to>
      <xdr:col>5</xdr:col>
      <xdr:colOff>867000</xdr:colOff>
      <xdr:row>138</xdr:row>
      <xdr:rowOff>95250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182725"/>
          <a:ext cx="7153500" cy="5429250"/>
        </a:xfrm>
        <a:prstGeom prst="rect">
          <a:avLst/>
        </a:prstGeom>
      </xdr:spPr>
    </xdr:pic>
    <xdr:clientData/>
  </xdr:twoCellAnchor>
  <xdr:twoCellAnchor editAs="oneCell">
    <xdr:from>
      <xdr:col>5</xdr:col>
      <xdr:colOff>1133476</xdr:colOff>
      <xdr:row>34</xdr:row>
      <xdr:rowOff>95250</xdr:rowOff>
    </xdr:from>
    <xdr:to>
      <xdr:col>13</xdr:col>
      <xdr:colOff>255488</xdr:colOff>
      <xdr:row>68</xdr:row>
      <xdr:rowOff>123825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19976" y="3762375"/>
          <a:ext cx="6056212" cy="5210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35810;&#20215;&#20303;&#23429;B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35810;&#20215;&#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4701;&#21019;&#34701;&#22253;&#39033;&#30446;&#25269;&#25276;&#29289;&#28165;&#21333;&#65288;&#25130;&#33267;2019&#24180;9&#26376;30&#26085;&#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2&#22312;&#24314;&#24314;&#31569;&#29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35810;&#20215;&#21830;&#19994;B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35810;&#20215;&#21830;&#19994;B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303;&#22686;&#31246;&#35745;&#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比较法-住宅（小高层）"/>
      <sheetName val="不动产比较法-住宅 (平墅)"/>
      <sheetName val="不动产收益法"/>
      <sheetName val="土地案例"/>
      <sheetName val="土地信息"/>
      <sheetName val="销售及尽调情况"/>
      <sheetName val="B1住宅"/>
      <sheetName val="B1商业"/>
      <sheetName val="总面积表"/>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7">
          <cell r="F27">
            <v>38206.339999999997</v>
          </cell>
        </row>
      </sheetData>
      <sheetData sheetId="13">
        <row r="6">
          <cell r="L6">
            <v>2500</v>
          </cell>
        </row>
      </sheetData>
      <sheetData sheetId="14"/>
      <sheetData sheetId="15">
        <row r="1">
          <cell r="B1">
            <v>191540.65000000002</v>
          </cell>
        </row>
        <row r="8">
          <cell r="B8">
            <v>243613</v>
          </cell>
        </row>
        <row r="14">
          <cell r="D14">
            <v>65452</v>
          </cell>
        </row>
        <row r="15">
          <cell r="D15">
            <v>88886</v>
          </cell>
        </row>
        <row r="16">
          <cell r="D16">
            <v>68174</v>
          </cell>
        </row>
        <row r="17">
          <cell r="D17">
            <v>34986</v>
          </cell>
        </row>
        <row r="18">
          <cell r="D18">
            <v>80870</v>
          </cell>
        </row>
        <row r="19">
          <cell r="D19">
            <v>51</v>
          </cell>
        </row>
      </sheetData>
      <sheetData sheetId="16"/>
      <sheetData sheetId="17"/>
      <sheetData sheetId="18">
        <row r="2">
          <cell r="B2">
            <v>60004</v>
          </cell>
        </row>
      </sheetData>
      <sheetData sheetId="19"/>
      <sheetData sheetId="20"/>
      <sheetData sheetId="21"/>
      <sheetData sheetId="22"/>
      <sheetData sheetId="23">
        <row r="28">
          <cell r="L28">
            <v>76727</v>
          </cell>
        </row>
      </sheetData>
      <sheetData sheetId="24">
        <row r="5">
          <cell r="C5">
            <v>45488.7</v>
          </cell>
        </row>
        <row r="38">
          <cell r="C38">
            <v>128816.48999999999</v>
          </cell>
        </row>
      </sheetData>
      <sheetData sheetId="25"/>
      <sheetData sheetId="26"/>
      <sheetData sheetId="27">
        <row r="43">
          <cell r="K43">
            <v>7359.24</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土地案例"/>
      <sheetName val="土地信息"/>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8">
          <cell r="K28">
            <v>0.6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莲美苑(B2)"/>
      <sheetName val="汇莲馨苑(B1)"/>
      <sheetName val="商业"/>
      <sheetName val="排卡信息"/>
    </sheetNames>
    <sheetDataSet>
      <sheetData sheetId="0">
        <row r="2">
          <cell r="G2">
            <v>18999.940000000031</v>
          </cell>
        </row>
      </sheetData>
      <sheetData sheetId="1">
        <row r="2">
          <cell r="G2">
            <v>30847.100000000009</v>
          </cell>
        </row>
      </sheetData>
      <sheetData sheetId="2">
        <row r="2">
          <cell r="H2">
            <v>8436.3600000000024</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数据-汇总表"/>
      <sheetName val="土地信息"/>
      <sheetName val="尽调及已售情况"/>
      <sheetName val="抵押物清单（分楼）"/>
      <sheetName val="B2住宅"/>
      <sheetName val="B2商业"/>
      <sheetName val="数据-取费表"/>
      <sheetName val="估价对象房地状况"/>
      <sheetName val="系统读取表"/>
      <sheetName val="结果表"/>
      <sheetName val="成本法 (元)"/>
      <sheetName val="成本法"/>
      <sheetName val="土地比较法-住宅、综合"/>
      <sheetName val="土地案例"/>
      <sheetName val="假设开发法"/>
      <sheetName val="收益法 (元)"/>
      <sheetName val="收益法（汇总）"/>
      <sheetName val="酒店收入计算"/>
      <sheetName val="比较法-住宅（小高层）"/>
      <sheetName val="比较法-商业"/>
      <sheetName val="比较法-办公"/>
      <sheetName val="比较法-工业"/>
      <sheetName val="比较法-车位"/>
      <sheetName val="比较法-仓储"/>
      <sheetName val="比较法-住宅（平墅）"/>
      <sheetName val="收益法"/>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B14">
            <v>19828.670000000013</v>
          </cell>
          <cell r="C14">
            <v>6356.69</v>
          </cell>
          <cell r="D14">
            <v>43400</v>
          </cell>
        </row>
      </sheetData>
      <sheetData sheetId="22">
        <row r="118">
          <cell r="D118">
            <v>38986</v>
          </cell>
          <cell r="F118">
            <v>4414</v>
          </cell>
          <cell r="H118">
            <v>43400</v>
          </cell>
          <cell r="I118">
            <v>21887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土地案例"/>
      <sheetName val="土地信息"/>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76469.600000000006</v>
          </cell>
          <cell r="C14">
            <v>19117.599999999999</v>
          </cell>
          <cell r="D14">
            <v>76243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收益法"/>
      <sheetName val="土地案例"/>
      <sheetName val="土地信息"/>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57036.04</v>
          </cell>
          <cell r="C14">
            <v>19667.8</v>
          </cell>
          <cell r="D14">
            <v>59742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 val="项目基本情况"/>
      <sheetName val="数据-基础表"/>
      <sheetName val="数据-汇总表"/>
      <sheetName val="数据-取费表"/>
      <sheetName val="估价对象房地状况"/>
      <sheetName val="系统读取表"/>
      <sheetName val="结果表"/>
      <sheetName val="比较法-住宅"/>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row r="59">
          <cell r="N59">
            <v>245423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东丽区融创融园B1出让国有建设用地使用权及在建建筑物房地产抵押价值预评估</v>
      </c>
    </row>
    <row r="3" spans="1:2" s="1592" customFormat="1">
      <c r="A3" s="1590" t="s">
        <v>1217</v>
      </c>
      <c r="B3" s="1591" t="str">
        <f>'预评函-封皮'!B40</f>
        <v>中信信托</v>
      </c>
    </row>
    <row r="4" spans="1:2" s="1592" customFormat="1">
      <c r="A4" s="1590" t="s">
        <v>1218</v>
      </c>
      <c r="B4" s="1591" t="str">
        <f ca="1">'预评函-封皮'!B46</f>
        <v>郑燚（注册号：1120070131)、王鹏（注册号：1120050019)</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受贵公司委托，我公司对东丽区融创融园B1出让国有建设用地使用权及在建建筑物房地产抵押价值进行了预评估。</v>
      </c>
    </row>
    <row r="7" spans="1:2" s="1592" customFormat="1">
      <c r="A7" s="1590" t="s">
        <v>1260</v>
      </c>
      <c r="B7" s="1591" t="str">
        <f>'预评函-1'!A7</f>
        <v>估价对象为东丽区融创融园B1出让国有建设用地使用权及在建建筑物房地产，为所有。根据，估价对象（分摊）出让国有建设用地使用权面积为13491.73平方米，建筑面积为38206.34平方米。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东丽区融创融园B1出让国有建设用地使用权及在建建筑物房地产,属开发建设的居住项目，该项目尚在开发建设中。根据，估价对象（分摊）出让国有建设用地使用权面积为13491.73平方米，规划建筑面积为38206.34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东丽区融创融园B1出让国有建设用地使用权及在建建筑物房地产作为抵押担保物，向中信信托办理贷款手续。中信信托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2019年10月17日（评估专业人员实地查勘之日）</v>
      </c>
    </row>
    <row r="13" spans="1:2" s="1592" customFormat="1">
      <c r="A13" s="1590" t="s">
        <v>1223</v>
      </c>
      <c r="B13" s="1591" t="str">
        <f>'预评函-1'!A18</f>
        <v>本次估价的“房地产价值”是指在正常市场情况下，在价值时点2019年10月17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80133</v>
      </c>
    </row>
    <row r="21" spans="1:2" s="1592" customFormat="1">
      <c r="A21" s="1590" t="s">
        <v>1231</v>
      </c>
      <c r="B21" s="1591">
        <f ca="1">'预评函-2'!D7</f>
        <v>20974</v>
      </c>
    </row>
    <row r="22" spans="1:2" s="1592" customFormat="1">
      <c r="A22" s="1590" t="s">
        <v>1232</v>
      </c>
      <c r="B22" s="1591" t="str">
        <f ca="1">'预评函-2'!D6</f>
        <v>捌亿零壹佰叁拾叁万元整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80133</v>
      </c>
    </row>
    <row r="31" spans="1:2" s="1592" customFormat="1">
      <c r="A31" s="1590" t="s">
        <v>1270</v>
      </c>
      <c r="B31" s="1591">
        <f ca="1">'预评函-2'!D15</f>
        <v>20974</v>
      </c>
    </row>
    <row r="32" spans="1:2" s="1592" customFormat="1">
      <c r="A32" s="1590" t="s">
        <v>1237</v>
      </c>
      <c r="B32" s="1591" t="str">
        <f ca="1">'预评函-2'!D14</f>
        <v>捌亿零壹佰叁拾叁万元整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30462</v>
      </c>
    </row>
    <row r="39" spans="1:2" s="1592" customFormat="1">
      <c r="A39" s="1590" t="s">
        <v>1239</v>
      </c>
      <c r="B39" s="1591">
        <f ca="1">'预评函-2'!D21</f>
        <v>7973</v>
      </c>
    </row>
    <row r="40" spans="1:2" s="1592" customFormat="1">
      <c r="A40" s="1590" t="s">
        <v>1240</v>
      </c>
      <c r="B40" s="1591" t="str">
        <f ca="1">'预评函-2'!D20</f>
        <v>叁亿零肆佰陆拾贰万元整</v>
      </c>
    </row>
    <row r="41" spans="1:2" s="1592" customFormat="1">
      <c r="A41" s="1590" t="s">
        <v>1286</v>
      </c>
      <c r="B41" s="1591" t="str">
        <f>'预评函-3'!A4</f>
        <v>东丽区融创融园B1出让国有建设用地使用权及在建建筑物房地产</v>
      </c>
    </row>
    <row r="42" spans="1:2" s="1592" customFormat="1">
      <c r="A42" s="1590" t="s">
        <v>1284</v>
      </c>
      <c r="B42" s="1591" t="str">
        <f>'预评函-3'!B2</f>
        <v>建筑面积</v>
      </c>
    </row>
    <row r="43" spans="1:2" s="1592" customFormat="1">
      <c r="A43" s="1590" t="s">
        <v>1285</v>
      </c>
      <c r="B43" s="1591">
        <f>'预评函-3'!B4</f>
        <v>38206.339999999997</v>
      </c>
    </row>
    <row r="44" spans="1:2" s="1592" customFormat="1">
      <c r="A44" s="1590" t="s">
        <v>1269</v>
      </c>
      <c r="B44" s="1591" t="str">
        <f>'预评函-3'!C2</f>
        <v>(分摊)土地面积</v>
      </c>
    </row>
    <row r="45" spans="1:2" s="1592" customFormat="1">
      <c r="A45" s="1590" t="s">
        <v>1241</v>
      </c>
      <c r="B45" s="1591">
        <f>'预评函-3'!C4</f>
        <v>13491.73</v>
      </c>
    </row>
    <row r="46" spans="1:2" s="1592" customFormat="1">
      <c r="A46" s="1590" t="s">
        <v>1267</v>
      </c>
      <c r="B46" s="1591" t="str">
        <f>'预评函-3'!D2</f>
        <v>出让国有建设用地使用权价值</v>
      </c>
    </row>
    <row r="47" spans="1:2" s="1592" customFormat="1">
      <c r="A47" s="1590" t="s">
        <v>1242</v>
      </c>
      <c r="B47" s="1591">
        <f ca="1">'预评函-3'!D4</f>
        <v>71587</v>
      </c>
    </row>
    <row r="48" spans="1:2" s="1592" customFormat="1">
      <c r="A48" s="1590" t="s">
        <v>1243</v>
      </c>
      <c r="B48" s="1591">
        <f ca="1">'预评函-3'!E4</f>
        <v>18737</v>
      </c>
    </row>
    <row r="49" spans="1:2" s="1592" customFormat="1">
      <c r="A49" s="1590" t="s">
        <v>1244</v>
      </c>
      <c r="B49" s="1591" t="str">
        <f ca="1">'预评函-3'!D5</f>
        <v>柒亿壹仟伍佰捌拾柒万元整</v>
      </c>
    </row>
    <row r="50" spans="1:2" s="1592" customFormat="1">
      <c r="A50" s="1590" t="s">
        <v>1268</v>
      </c>
      <c r="B50" s="1591" t="str">
        <f>'预评函-3'!F2</f>
        <v>在建建筑物价值</v>
      </c>
    </row>
    <row r="51" spans="1:2" s="1592" customFormat="1">
      <c r="A51" s="1590" t="s">
        <v>1245</v>
      </c>
      <c r="B51" s="1591">
        <f ca="1">'预评函-3'!F4</f>
        <v>8546</v>
      </c>
    </row>
    <row r="52" spans="1:2" s="1592" customFormat="1">
      <c r="A52" s="1590" t="s">
        <v>1246</v>
      </c>
      <c r="B52" s="1591">
        <f ca="1">'预评函-3'!G4</f>
        <v>2237</v>
      </c>
    </row>
    <row r="53" spans="1:2" s="1592" customFormat="1">
      <c r="A53" s="1590" t="s">
        <v>1274</v>
      </c>
      <c r="B53" s="1591" t="str">
        <f ca="1">'预评函-3'!F5</f>
        <v>捌仟伍佰肆拾陆万元整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5" thickBot="1">
      <c r="A73" s="1593" t="s">
        <v>1259</v>
      </c>
      <c r="B73" s="1594">
        <f ca="1">'预评函-4'!B5</f>
        <v>1120050019</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0" sqref="I30"/>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3761</v>
      </c>
      <c r="B28" s="2012" t="s">
        <v>757</v>
      </c>
      <c r="C28" s="2013"/>
    </row>
    <row r="29" spans="1:3">
      <c r="A29" s="2012" t="s">
        <v>3763</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东丽区融创融园B1出让国有建设用地使用权及在建建筑物房地产作为抵押担保物，向中信信托办理贷款手续。中信信托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2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2020" t="s">
        <v>861</v>
      </c>
      <c r="C54" s="2017" t="s">
        <v>1277</v>
      </c>
    </row>
    <row r="55" spans="1:4">
      <c r="A55" s="3124"/>
      <c r="B55" s="2020" t="s">
        <v>862</v>
      </c>
      <c r="C55" s="2017" t="s">
        <v>1278</v>
      </c>
    </row>
    <row r="56" spans="1:4">
      <c r="A56" s="3124"/>
      <c r="B56" s="2020" t="s">
        <v>863</v>
      </c>
      <c r="C56" s="2017" t="s">
        <v>1282</v>
      </c>
    </row>
    <row r="57" spans="1:4">
      <c r="A57" s="312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37" sqref="G37"/>
    </sheetView>
  </sheetViews>
  <sheetFormatPr defaultColWidth="10" defaultRowHeight="18" customHeight="1"/>
  <cols>
    <col min="1" max="1" width="14.875" style="2030" customWidth="1"/>
    <col min="2" max="2" width="12.5" style="2030" customWidth="1"/>
    <col min="3" max="3" width="11.5" style="2030" customWidth="1"/>
    <col min="4" max="4" width="12.37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1771</v>
      </c>
      <c r="B1" s="3125" t="str">
        <f>IF(B10="北京市","北京市",C10)&amp;F10&amp;IF(结果表!G1="在建","出让国有建设用地使用权及在建建筑物",IF(结果表!G1="土地","出让国有建设用地使用权",))&amp;B9&amp;"预评估"</f>
        <v>东丽区融创融园B1出让国有建设用地使用权及在建建筑物房地产抵押价值预评估</v>
      </c>
      <c r="C1" s="3126"/>
      <c r="D1" s="3126"/>
      <c r="E1" s="3126"/>
      <c r="F1" s="3126"/>
      <c r="G1" s="3126"/>
      <c r="H1" s="3126"/>
      <c r="I1" s="312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东丽区融创融园B1出让国有建设用地使用权及在建建筑物房地产抵押价值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东丽区融创融园B1出让国有建设用地使用权及在建建筑物房地产</v>
      </c>
    </row>
    <row r="3" spans="1:19" ht="18" customHeight="1">
      <c r="A3" s="2033" t="s">
        <v>1773</v>
      </c>
      <c r="B3" s="2034">
        <v>43755</v>
      </c>
      <c r="C3" s="2035" t="s">
        <v>1774</v>
      </c>
      <c r="D3" s="2034">
        <f>B3</f>
        <v>43755</v>
      </c>
      <c r="E3" s="2024"/>
      <c r="F3" s="2024"/>
      <c r="G3" s="2024"/>
      <c r="H3" s="2024"/>
      <c r="I3" s="2024"/>
      <c r="J3" s="2024"/>
      <c r="K3" s="2025"/>
      <c r="L3" s="2026"/>
      <c r="M3" s="2026"/>
      <c r="N3" s="2027"/>
      <c r="O3" s="2028"/>
      <c r="P3" s="2027"/>
      <c r="Q3" s="2027"/>
      <c r="R3" s="2027"/>
      <c r="S3" s="2029"/>
    </row>
    <row r="4" spans="1:19" ht="18" customHeight="1" thickBot="1">
      <c r="A4" s="2036" t="s">
        <v>1775</v>
      </c>
      <c r="B4" s="2037" t="s">
        <v>3302</v>
      </c>
      <c r="C4" s="1037">
        <f ca="1">SUMIF(注册房地产估价师,B4,估价师及机构信息!B3:B24)</f>
        <v>1120070131</v>
      </c>
      <c r="D4" s="2037" t="s">
        <v>3303</v>
      </c>
      <c r="E4" s="1038">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1776</v>
      </c>
      <c r="B5" s="2949" t="s">
        <v>3304</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86" t="s">
        <v>3304</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049"/>
      <c r="C7" s="2046"/>
      <c r="D7" s="2047"/>
      <c r="E7" s="2032"/>
      <c r="F7" s="2040"/>
      <c r="G7" s="2040"/>
      <c r="H7" s="2040"/>
      <c r="I7" s="2040"/>
      <c r="J7" s="2040"/>
      <c r="K7" s="2050"/>
      <c r="L7" s="2026"/>
      <c r="M7" s="2026"/>
      <c r="N7" s="2027"/>
      <c r="O7" s="2028"/>
      <c r="P7" s="2027"/>
      <c r="Q7" s="2027"/>
      <c r="R7" s="2027"/>
    </row>
    <row r="8" spans="1:19" ht="18" customHeight="1">
      <c r="A8" s="2045" t="s">
        <v>1779</v>
      </c>
      <c r="B8" s="2051" t="s">
        <v>3174</v>
      </c>
      <c r="C8" s="2052"/>
      <c r="D8" s="3128" t="s">
        <v>1780</v>
      </c>
      <c r="E8" s="2053" t="s">
        <v>3175</v>
      </c>
      <c r="F8" s="2054"/>
      <c r="G8" s="2024"/>
      <c r="H8" s="2024"/>
      <c r="I8" s="2024"/>
      <c r="J8" s="2040"/>
      <c r="K8" s="2041"/>
      <c r="L8" s="2026"/>
      <c r="M8" s="2026"/>
      <c r="N8" s="2027"/>
      <c r="O8" s="2028"/>
      <c r="P8" s="2027"/>
      <c r="Q8" s="2027"/>
      <c r="R8" s="2027"/>
    </row>
    <row r="9" spans="1:19" ht="18" customHeight="1" thickBot="1">
      <c r="A9" s="2038" t="s">
        <v>1781</v>
      </c>
      <c r="B9" s="2055" t="s">
        <v>3175</v>
      </c>
      <c r="C9" s="2056"/>
      <c r="D9" s="3129"/>
      <c r="E9" s="2055" t="s">
        <v>1281</v>
      </c>
      <c r="F9" s="2057"/>
      <c r="G9" s="2058"/>
      <c r="H9" s="2058"/>
      <c r="I9" s="2058"/>
      <c r="J9" s="2040"/>
      <c r="K9" s="2050"/>
      <c r="L9" s="2026"/>
      <c r="M9" s="2026"/>
      <c r="N9" s="2027"/>
      <c r="O9" s="2028"/>
      <c r="P9" s="2027"/>
      <c r="Q9" s="2027"/>
      <c r="R9" s="2027"/>
    </row>
    <row r="10" spans="1:19" ht="18" customHeight="1" thickTop="1">
      <c r="A10" s="2059" t="s">
        <v>1782</v>
      </c>
      <c r="B10" s="2060" t="s">
        <v>3176</v>
      </c>
      <c r="C10" s="2061"/>
      <c r="D10" s="2044"/>
      <c r="E10" s="2062" t="s">
        <v>1783</v>
      </c>
      <c r="F10" s="2987" t="s">
        <v>3305</v>
      </c>
      <c r="G10" s="2063"/>
      <c r="H10" s="2064"/>
      <c r="I10" s="2044"/>
      <c r="J10" s="2040"/>
      <c r="K10" s="2050"/>
      <c r="L10" s="2026"/>
      <c r="M10" s="2026"/>
      <c r="N10" s="2027"/>
      <c r="O10" s="2028"/>
      <c r="P10" s="2027"/>
      <c r="Q10" s="2027"/>
      <c r="R10" s="2027"/>
    </row>
    <row r="11" spans="1:19" ht="18" customHeight="1">
      <c r="A11" s="2065" t="s">
        <v>1784</v>
      </c>
      <c r="B11" s="2066" t="s">
        <v>3177</v>
      </c>
      <c r="C11" s="2067"/>
      <c r="D11" s="2068"/>
      <c r="E11" s="2040"/>
      <c r="F11" s="2040"/>
      <c r="G11" s="2040"/>
      <c r="H11" s="2040"/>
      <c r="I11" s="2040"/>
      <c r="J11" s="2040"/>
      <c r="K11" s="2050"/>
      <c r="L11" s="2026"/>
      <c r="M11" s="2026"/>
      <c r="N11" s="2027"/>
      <c r="O11" s="2028"/>
      <c r="P11" s="2027"/>
      <c r="Q11" s="2027"/>
      <c r="R11" s="2027"/>
    </row>
    <row r="12" spans="1:19" ht="18" customHeight="1">
      <c r="A12" s="2069" t="s">
        <v>1785</v>
      </c>
      <c r="B12" s="2066" t="s">
        <v>3178</v>
      </c>
      <c r="C12" s="2070" t="s">
        <v>1786</v>
      </c>
      <c r="D12" s="2071" t="s">
        <v>1787</v>
      </c>
      <c r="E12" s="2071" t="s">
        <v>1788</v>
      </c>
      <c r="F12" s="2071" t="s">
        <v>1789</v>
      </c>
      <c r="G12" s="2071" t="s">
        <v>1790</v>
      </c>
      <c r="H12" s="2071" t="s">
        <v>1791</v>
      </c>
      <c r="I12" s="2071" t="s">
        <v>1792</v>
      </c>
      <c r="J12" s="2040"/>
      <c r="K12" s="2050"/>
      <c r="L12" s="2026"/>
      <c r="M12" s="2026"/>
      <c r="N12" s="2027"/>
      <c r="O12" s="2028"/>
      <c r="P12" s="2027"/>
      <c r="Q12" s="2027"/>
      <c r="R12" s="2027"/>
    </row>
    <row r="13" spans="1:19" ht="18" customHeight="1">
      <c r="A13" s="2072"/>
      <c r="B13" s="2073"/>
      <c r="C13" s="2074" t="s">
        <v>1793</v>
      </c>
      <c r="D13" s="2075">
        <v>68296</v>
      </c>
      <c r="E13" s="2075">
        <v>57339</v>
      </c>
      <c r="F13" s="2075"/>
      <c r="G13" s="2075"/>
      <c r="H13" s="2075"/>
      <c r="I13" s="1047"/>
      <c r="J13" s="2040"/>
      <c r="K13" s="2050"/>
      <c r="L13" s="2026"/>
      <c r="M13" s="2026"/>
      <c r="N13" s="2027"/>
      <c r="O13" s="2028"/>
      <c r="P13" s="2027"/>
      <c r="Q13" s="2027"/>
      <c r="R13" s="2027"/>
    </row>
    <row r="14" spans="1:19" ht="18" customHeight="1">
      <c r="A14" s="2072"/>
      <c r="B14" s="2073"/>
      <c r="C14" s="2074" t="s">
        <v>1794</v>
      </c>
      <c r="D14" s="1050">
        <v>70</v>
      </c>
      <c r="E14" s="1050">
        <v>40</v>
      </c>
      <c r="F14" s="1050"/>
      <c r="G14" s="1050"/>
      <c r="H14" s="1050"/>
      <c r="I14" s="1050"/>
      <c r="J14" s="2040"/>
      <c r="K14" s="2076"/>
      <c r="L14" s="2026"/>
      <c r="M14" s="2026"/>
      <c r="N14" s="2027"/>
      <c r="O14" s="2028"/>
      <c r="P14" s="2027"/>
      <c r="Q14" s="2027"/>
      <c r="R14" s="2027"/>
    </row>
    <row r="15" spans="1:19" ht="18" customHeight="1">
      <c r="A15" s="2059"/>
      <c r="B15" s="2077"/>
      <c r="C15" s="2074" t="s">
        <v>1795</v>
      </c>
      <c r="D15" s="1049">
        <f>IF(B12="出让",IF(D13="","",ROUNDDOWN(MIN((D13-$D$3)/365,D14),2)),D14)</f>
        <v>67.23</v>
      </c>
      <c r="E15" s="1049">
        <f>IF(B12="出让",IF(E13="","",ROUNDDOWN(MIN((E13-$D$3)/365,E14),2)),E14)</f>
        <v>37.21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2" t="s">
        <v>1796</v>
      </c>
      <c r="B16" s="3135"/>
      <c r="C16" s="3136"/>
      <c r="D16" s="3137"/>
      <c r="E16" s="2081" t="s">
        <v>1797</v>
      </c>
      <c r="F16" s="3138"/>
      <c r="G16" s="3139"/>
      <c r="H16" s="3139"/>
      <c r="I16" s="3140"/>
      <c r="J16" s="2027"/>
      <c r="K16" s="2078"/>
      <c r="L16" s="2079"/>
      <c r="M16" s="2079"/>
      <c r="N16" s="2080"/>
      <c r="O16" s="2079"/>
      <c r="P16" s="2080"/>
      <c r="Q16" s="2027"/>
      <c r="R16" s="2027"/>
    </row>
    <row r="17" spans="1:22" ht="18" customHeight="1">
      <c r="A17" s="2082" t="s">
        <v>1798</v>
      </c>
      <c r="B17" s="2033" t="s">
        <v>1799</v>
      </c>
      <c r="C17" s="1054">
        <f>'数据-汇总表'!E3</f>
        <v>38206.339999999997</v>
      </c>
      <c r="D17" s="2083" t="s">
        <v>1800</v>
      </c>
      <c r="E17" s="3141"/>
      <c r="F17" s="3142"/>
      <c r="G17" s="3142"/>
      <c r="H17" s="3142"/>
      <c r="I17" s="3143"/>
      <c r="J17" s="2027"/>
      <c r="K17" s="2084"/>
      <c r="L17" s="2079"/>
      <c r="M17" s="2079"/>
      <c r="N17" s="2080"/>
      <c r="O17" s="2079"/>
      <c r="P17" s="2080"/>
      <c r="Q17" s="2027"/>
      <c r="R17" s="2027"/>
      <c r="S17" s="2027"/>
      <c r="T17" s="2027"/>
      <c r="U17" s="2027"/>
      <c r="V17" s="2027"/>
    </row>
    <row r="18" spans="1:22" ht="36" customHeight="1" thickBot="1">
      <c r="A18" s="2085" t="s">
        <v>1801</v>
      </c>
      <c r="B18" s="2036" t="s">
        <v>1802</v>
      </c>
      <c r="C18" s="1444">
        <f>'数据-汇总表'!D3</f>
        <v>13491.73</v>
      </c>
      <c r="D18" s="2086" t="s">
        <v>1800</v>
      </c>
      <c r="E18" s="3144"/>
      <c r="F18" s="3145"/>
      <c r="G18" s="3145"/>
      <c r="H18" s="3145"/>
      <c r="I18" s="3146"/>
      <c r="J18" s="2027"/>
      <c r="K18" s="2084"/>
      <c r="L18" s="2079"/>
      <c r="M18" s="2079"/>
      <c r="N18" s="2080"/>
      <c r="O18" s="2079"/>
      <c r="P18" s="2080"/>
      <c r="Q18" s="2027"/>
      <c r="R18" s="2027"/>
      <c r="S18" s="2027"/>
      <c r="T18" s="2027"/>
      <c r="U18" s="2027"/>
      <c r="V18" s="2027"/>
    </row>
    <row r="19" spans="1:22" ht="37.5" customHeight="1" thickTop="1" thickBot="1">
      <c r="A19" s="373" t="s">
        <v>1803</v>
      </c>
      <c r="B19" s="352" t="s">
        <v>1804</v>
      </c>
      <c r="C19" s="2087"/>
      <c r="D19" s="2088" t="s">
        <v>1805</v>
      </c>
      <c r="E19" s="2089"/>
      <c r="F19" s="2090" t="str">
        <f>IF(AND(C19="是",E19="否"),"是否提供他项权证或相关说明","")</f>
        <v/>
      </c>
      <c r="G19" s="2091"/>
      <c r="H19" s="2040"/>
      <c r="I19" s="2040"/>
      <c r="J19" s="2040"/>
      <c r="K19" s="2050"/>
      <c r="L19" s="2026"/>
      <c r="M19" s="2026"/>
      <c r="N19" s="2080"/>
      <c r="O19" s="2079"/>
      <c r="P19" s="2080"/>
      <c r="Q19" s="2027"/>
      <c r="R19" s="2027"/>
      <c r="S19" s="2027"/>
      <c r="T19" s="2027"/>
      <c r="U19" s="2027"/>
      <c r="V19" s="2027"/>
    </row>
    <row r="20" spans="1:22" ht="18" customHeight="1">
      <c r="A20" s="2092" t="s">
        <v>1806</v>
      </c>
      <c r="B20" s="3131" t="s">
        <v>1807</v>
      </c>
      <c r="C20" s="3132"/>
      <c r="D20" s="3133" t="s">
        <v>1808</v>
      </c>
      <c r="E20" s="3134"/>
      <c r="F20" s="2093" t="s">
        <v>1809</v>
      </c>
      <c r="G20" s="2040"/>
      <c r="H20" s="2040"/>
      <c r="I20" s="2040"/>
      <c r="J20" s="2040"/>
      <c r="K20" s="3130"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1811</v>
      </c>
      <c r="C21" s="2095" t="s">
        <v>1812</v>
      </c>
      <c r="D21" s="2096" t="s">
        <v>1813</v>
      </c>
      <c r="E21" s="2097" t="s">
        <v>1812</v>
      </c>
      <c r="F21" s="2098"/>
      <c r="G21" s="2040"/>
      <c r="H21" s="2040"/>
      <c r="I21" s="2040"/>
      <c r="J21" s="2040"/>
      <c r="K21" s="31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1814</v>
      </c>
      <c r="C22" s="2095" t="s">
        <v>1815</v>
      </c>
      <c r="D22" s="2024"/>
      <c r="E22" s="2024"/>
      <c r="F22" s="2100"/>
      <c r="G22" s="2040"/>
      <c r="H22" s="2040"/>
      <c r="I22" s="2040"/>
      <c r="J22" s="2040"/>
      <c r="K22" s="31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1816</v>
      </c>
      <c r="B23" s="183" t="s">
        <v>1817</v>
      </c>
      <c r="C23" s="2102"/>
      <c r="D23" s="2103" t="s">
        <v>1817</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1818</v>
      </c>
      <c r="C24" s="2107"/>
      <c r="D24" s="2101" t="s">
        <v>1818</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1819</v>
      </c>
      <c r="C25" s="2107"/>
      <c r="D25" s="2101" t="s">
        <v>1819</v>
      </c>
      <c r="E25" s="2108"/>
      <c r="F25" s="2100"/>
      <c r="G25" s="2040"/>
      <c r="H25" s="2040"/>
      <c r="I25" s="2040"/>
      <c r="J25" s="2040"/>
      <c r="K25" s="2050"/>
      <c r="L25" s="2026"/>
      <c r="M25" s="2026"/>
      <c r="N25" s="2080"/>
      <c r="O25" s="2079"/>
      <c r="P25" s="2080"/>
      <c r="Q25" s="2027"/>
      <c r="R25" s="2027"/>
      <c r="S25" s="2027"/>
      <c r="T25" s="2027"/>
      <c r="U25" s="2027"/>
      <c r="V25" s="2027"/>
    </row>
    <row r="26" spans="1:22" ht="18" customHeight="1" thickBot="1">
      <c r="A26" s="2109"/>
      <c r="B26" s="2110" t="s">
        <v>1820</v>
      </c>
      <c r="C26" s="2111"/>
      <c r="D26" s="2112" t="s">
        <v>1821</v>
      </c>
      <c r="E26" s="2113"/>
      <c r="F26" s="2114"/>
      <c r="G26" s="2058"/>
      <c r="H26" s="2058"/>
      <c r="I26" s="2058"/>
      <c r="J26" s="2040"/>
      <c r="K26" s="2050"/>
      <c r="L26" s="2026"/>
      <c r="M26" s="2026"/>
      <c r="N26" s="2080"/>
      <c r="O26" s="2079"/>
      <c r="P26" s="2080"/>
      <c r="Q26" s="2027"/>
      <c r="R26" s="2027"/>
      <c r="S26" s="2027"/>
      <c r="T26" s="2027"/>
      <c r="U26" s="2027"/>
      <c r="V26" s="2027"/>
    </row>
    <row r="27" spans="1:22" ht="18" customHeight="1" thickTop="1">
      <c r="A27" s="3148" t="s">
        <v>1822</v>
      </c>
      <c r="B27" s="2059" t="s">
        <v>1823</v>
      </c>
      <c r="C27" s="2115" t="s">
        <v>3757</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148"/>
      <c r="B28" s="2033" t="s">
        <v>1824</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148"/>
      <c r="B29" s="2033" t="s">
        <v>1825</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149"/>
      <c r="B30" s="2033" t="s">
        <v>1826</v>
      </c>
      <c r="C30" s="3150"/>
      <c r="D30" s="3151"/>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152" t="s">
        <v>1827</v>
      </c>
      <c r="B31" s="2122"/>
      <c r="C31" s="2123" t="str">
        <f>IF(B31="现房","成新及维护状况正常否",IF(B31="在建","工程状态是否正常",IF(B31="土地","是否闲置","-")))</f>
        <v>-</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153"/>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153"/>
      <c r="B33" s="2126"/>
      <c r="C33" s="2065"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1828</v>
      </c>
      <c r="B34" s="2129" t="s">
        <v>3040</v>
      </c>
      <c r="C34" s="2129" t="s">
        <v>3041</v>
      </c>
      <c r="D34" s="2129" t="s">
        <v>3042</v>
      </c>
      <c r="E34" s="2129" t="s">
        <v>3043</v>
      </c>
      <c r="F34" s="2129" t="s">
        <v>3044</v>
      </c>
      <c r="G34" s="2129" t="s">
        <v>3758</v>
      </c>
      <c r="H34" s="2129" t="s">
        <v>3759</v>
      </c>
      <c r="I34" s="2040"/>
      <c r="J34" s="2040"/>
      <c r="K34" s="1794">
        <f>COUNTIF(B34:H34,"——")</f>
        <v>0</v>
      </c>
      <c r="L34" s="2070" t="s">
        <v>1829</v>
      </c>
      <c r="M34" s="2070" t="s">
        <v>1830</v>
      </c>
      <c r="N34" s="2070" t="s">
        <v>1831</v>
      </c>
      <c r="O34" s="2070" t="s">
        <v>1832</v>
      </c>
      <c r="P34" s="2070" t="s">
        <v>1833</v>
      </c>
      <c r="Q34" s="2070" t="s">
        <v>1834</v>
      </c>
      <c r="R34" s="2070" t="s">
        <v>1835</v>
      </c>
      <c r="S34" s="3147" t="s">
        <v>1836</v>
      </c>
      <c r="T34" s="2130" t="str">
        <f>NUMBERSTRING(7-K34,1)&amp;"通"</f>
        <v>七通</v>
      </c>
      <c r="U34" s="2027"/>
      <c r="V34" s="2027"/>
    </row>
    <row r="35" spans="1:22" ht="18" customHeight="1">
      <c r="A35" s="2131"/>
      <c r="B35" s="3154" t="s">
        <v>1837</v>
      </c>
      <c r="C35" s="3154"/>
      <c r="D35" s="3154"/>
      <c r="E35" s="3154"/>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47"/>
      <c r="T35" s="48" t="str">
        <f>IF(T34="一通",L35,IF(T34="二通",M35,IF(T34="三通",N35,IF(T34="四通",O35,IF(T34="五通",P35,IF(T34="六通",Q35,R35))))))</f>
        <v>通路、通电、通讯、通上水、通下水、通热、燃气</v>
      </c>
      <c r="U35" s="2027"/>
      <c r="V35" s="2027"/>
    </row>
    <row r="36" spans="1:22" ht="18" customHeight="1">
      <c r="A36" s="2133"/>
      <c r="B36" s="2132" t="s">
        <v>1838</v>
      </c>
      <c r="C36" s="2132" t="s">
        <v>1839</v>
      </c>
      <c r="D36" s="2132" t="s">
        <v>1840</v>
      </c>
      <c r="E36" s="2132" t="s">
        <v>1841</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1842</v>
      </c>
      <c r="B37" s="2136"/>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1843</v>
      </c>
      <c r="B38" s="2138"/>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1845</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1846</v>
      </c>
      <c r="B42" s="1794" t="s">
        <v>1847</v>
      </c>
      <c r="C42" s="1794" t="s">
        <v>1848</v>
      </c>
      <c r="D42" s="1794" t="s">
        <v>1849</v>
      </c>
      <c r="E42" s="1794" t="s">
        <v>1850</v>
      </c>
      <c r="F42" s="1794" t="s">
        <v>1851</v>
      </c>
      <c r="G42" s="1794" t="s">
        <v>1852</v>
      </c>
      <c r="H42" s="1794" t="s">
        <v>1853</v>
      </c>
      <c r="I42" s="1794" t="s">
        <v>1854</v>
      </c>
      <c r="J42" s="2148" t="s">
        <v>1855</v>
      </c>
      <c r="K42" s="2071" t="s">
        <v>1856</v>
      </c>
      <c r="L42" s="2071" t="s">
        <v>1857</v>
      </c>
      <c r="M42" s="2071" t="s">
        <v>1858</v>
      </c>
      <c r="N42" s="1794" t="s">
        <v>1859</v>
      </c>
      <c r="O42" s="1794" t="s">
        <v>1860</v>
      </c>
      <c r="P42" s="1794" t="s">
        <v>1861</v>
      </c>
      <c r="Q42" s="2070" t="s">
        <v>1862</v>
      </c>
      <c r="R42" s="2070" t="s">
        <v>1863</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0"/>
  <sheetViews>
    <sheetView workbookViewId="0">
      <selection activeCell="B17" sqref="B17"/>
    </sheetView>
  </sheetViews>
  <sheetFormatPr defaultRowHeight="13.5"/>
  <cols>
    <col min="2" max="2" width="19.25" customWidth="1"/>
  </cols>
  <sheetData>
    <row r="1" spans="1:2">
      <c r="A1" s="2951" t="s">
        <v>3051</v>
      </c>
      <c r="B1" s="2951">
        <v>53912.01999999999</v>
      </c>
    </row>
    <row r="2" spans="1:2">
      <c r="A2" s="2951" t="s">
        <v>3052</v>
      </c>
      <c r="B2" s="2951">
        <v>96410.129999999976</v>
      </c>
    </row>
    <row r="3" spans="1:2">
      <c r="A3" s="2951" t="s">
        <v>3053</v>
      </c>
      <c r="B3" s="2951">
        <v>2558.5299999999997</v>
      </c>
    </row>
    <row r="4" spans="1:2">
      <c r="A4" s="2951" t="s">
        <v>3054</v>
      </c>
      <c r="B4" s="2951">
        <v>72.319999999999993</v>
      </c>
    </row>
    <row r="5" spans="1:2">
      <c r="A5" s="2951" t="s">
        <v>3055</v>
      </c>
      <c r="B5" s="2951">
        <f>SUM(B1:B4)</f>
        <v>152952.99999999997</v>
      </c>
    </row>
    <row r="6" spans="1:2">
      <c r="A6" s="2951" t="s">
        <v>3056</v>
      </c>
      <c r="B6" s="2951">
        <v>74924.460000000006</v>
      </c>
    </row>
    <row r="7" spans="1:2">
      <c r="A7" s="2951" t="s">
        <v>3053</v>
      </c>
      <c r="B7" s="2951">
        <v>4545.34</v>
      </c>
    </row>
    <row r="8" spans="1:2">
      <c r="A8" s="2951" t="s">
        <v>3054</v>
      </c>
      <c r="B8" s="2951">
        <v>55636.209999999992</v>
      </c>
    </row>
    <row r="9" spans="1:2">
      <c r="A9" s="2951" t="s">
        <v>3057</v>
      </c>
      <c r="B9" s="2951">
        <f>SUM(B6:B8)</f>
        <v>135106.01</v>
      </c>
    </row>
    <row r="10" spans="1:2">
      <c r="A10" s="2951" t="s">
        <v>37</v>
      </c>
      <c r="B10" s="2951">
        <f>B5+B9</f>
        <v>288059.01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1869</v>
      </c>
      <c r="AZ2" s="1270"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B1住宅!M11</f>
        <v>13491.73</v>
      </c>
      <c r="B3" s="14">
        <f>IF(C3="否",G5-AT5,G5)</f>
        <v>38206.339999999997</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2"/>
      <c r="C5" s="1802"/>
      <c r="D5" s="1805"/>
      <c r="E5" s="16" t="s">
        <v>1</v>
      </c>
      <c r="F5" s="16">
        <f>SUM(F13:F587)</f>
        <v>0</v>
      </c>
      <c r="G5" s="16">
        <f>SUM(G13:G587)</f>
        <v>38206.339999999997</v>
      </c>
      <c r="H5" s="16">
        <f t="shared" ref="H5:AT5" si="0">SUM(H13:H656)</f>
        <v>38206.339999999997</v>
      </c>
      <c r="I5" s="16">
        <f t="shared" si="0"/>
        <v>9322.2999999999993</v>
      </c>
      <c r="J5" s="16">
        <f t="shared" si="0"/>
        <v>0</v>
      </c>
      <c r="K5" s="16">
        <f t="shared" si="0"/>
        <v>21524.799999999999</v>
      </c>
      <c r="L5" s="16">
        <f t="shared" si="0"/>
        <v>0</v>
      </c>
      <c r="M5" s="16">
        <f t="shared" si="0"/>
        <v>7359.24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38206.339999999997</v>
      </c>
      <c r="BA5" s="18">
        <f t="shared" si="1"/>
        <v>38206.339999999997</v>
      </c>
      <c r="BB5" s="18">
        <f t="shared" si="1"/>
        <v>9322.2999999999993</v>
      </c>
      <c r="BC5" s="18">
        <f t="shared" si="1"/>
        <v>21524.799999999999</v>
      </c>
      <c r="BD5" s="18">
        <f t="shared" si="1"/>
        <v>7359.24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1874</v>
      </c>
      <c r="B6" s="2170"/>
      <c r="C6" s="2170"/>
      <c r="D6" s="2171"/>
      <c r="E6" s="16">
        <f>H6+AC6+AT6</f>
        <v>13491.73</v>
      </c>
      <c r="F6" s="16" t="s">
        <v>1</v>
      </c>
      <c r="G6" s="16" t="s">
        <v>2</v>
      </c>
      <c r="H6" s="20">
        <f>SUMIF(I$12:AB$12,"总值",I6:AB6)</f>
        <v>13491.73</v>
      </c>
      <c r="I6" s="16">
        <f t="shared" ref="I6:AB6" si="2">ROUND($A$3*I5/$B$3,2)</f>
        <v>3291.97</v>
      </c>
      <c r="J6" s="16">
        <f t="shared" si="2"/>
        <v>0</v>
      </c>
      <c r="K6" s="16">
        <f t="shared" si="2"/>
        <v>7601.01</v>
      </c>
      <c r="L6" s="16">
        <f t="shared" si="2"/>
        <v>0</v>
      </c>
      <c r="M6" s="16">
        <f t="shared" si="2"/>
        <v>2598.75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13491.73</v>
      </c>
      <c r="AZ6" s="16" t="s">
        <v>3</v>
      </c>
      <c r="BA6" s="16">
        <f>ROUND($AY$6*BA5/$AZ$5,2)</f>
        <v>13491.73</v>
      </c>
      <c r="BB6" s="16">
        <f>ROUND($AY$6*BB5/$AZ$5,2)</f>
        <v>3291.97</v>
      </c>
      <c r="BC6" s="16">
        <f t="shared" ref="BC6:BH6" si="4">ROUND($AY$6*BC5/$AZ$5,2)</f>
        <v>7601.01</v>
      </c>
      <c r="BD6" s="16">
        <f t="shared" si="4"/>
        <v>2598.75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1882</v>
      </c>
      <c r="AV7" s="23" t="s">
        <v>1883</v>
      </c>
      <c r="AW7" s="2162" t="s">
        <v>1884</v>
      </c>
      <c r="AX7" s="23" t="s">
        <v>1877</v>
      </c>
      <c r="AY7" s="1802"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7"/>
      <c r="K8" s="1817"/>
      <c r="L8" s="1817"/>
      <c r="M8" s="1817"/>
      <c r="N8" s="1817"/>
      <c r="O8" s="1817"/>
      <c r="P8" s="1817"/>
      <c r="Q8" s="1817"/>
      <c r="R8" s="1817"/>
      <c r="S8" s="1817"/>
      <c r="T8" s="1817"/>
      <c r="U8" s="1817"/>
      <c r="V8" s="2182"/>
      <c r="W8" s="1817"/>
      <c r="X8" s="1817"/>
      <c r="Y8" s="1817"/>
      <c r="Z8" s="1817"/>
      <c r="AA8" s="2182"/>
      <c r="AB8" s="2183"/>
      <c r="AC8" s="981" t="s">
        <v>1888</v>
      </c>
      <c r="AD8" s="2184"/>
      <c r="AE8" s="2176"/>
      <c r="AF8" s="1817"/>
      <c r="AG8" s="1817"/>
      <c r="AH8" s="1817"/>
      <c r="AI8" s="1817"/>
      <c r="AJ8" s="1817"/>
      <c r="AK8" s="1817"/>
      <c r="AL8" s="1817"/>
      <c r="AM8" s="1817"/>
      <c r="AN8" s="1817"/>
      <c r="AO8" s="1817"/>
      <c r="AP8" s="1817"/>
      <c r="AQ8" s="1817"/>
      <c r="AR8" s="1817"/>
      <c r="AS8" s="1817"/>
      <c r="AT8" s="1292" t="s">
        <v>1889</v>
      </c>
      <c r="AU8" s="2178" t="s">
        <v>1890</v>
      </c>
      <c r="AV8" s="1292"/>
      <c r="AW8" s="2161"/>
      <c r="AX8" s="1292"/>
      <c r="AY8" s="2162"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2"/>
      <c r="H9" s="2186" t="s">
        <v>1893</v>
      </c>
      <c r="I9" s="2187" t="s">
        <v>3058</v>
      </c>
      <c r="J9" s="981"/>
      <c r="K9" s="2187" t="s">
        <v>3058</v>
      </c>
      <c r="L9" s="981"/>
      <c r="M9" s="2187" t="s">
        <v>3058</v>
      </c>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7"/>
      <c r="BN9" s="2181"/>
      <c r="BO9" s="1817"/>
      <c r="BP9" s="1817"/>
      <c r="BQ9" s="1817"/>
      <c r="BR9" s="1817"/>
      <c r="BS9" s="1817"/>
      <c r="BT9" s="26"/>
    </row>
    <row r="10" spans="1:72" s="2185" customFormat="1" ht="12.75">
      <c r="A10" s="2178"/>
      <c r="B10" s="2178"/>
      <c r="C10" s="2178"/>
      <c r="D10" s="2178"/>
      <c r="E10" s="2178"/>
      <c r="F10" s="2178"/>
      <c r="G10" s="1292"/>
      <c r="H10" s="28"/>
      <c r="I10" s="2187" t="s">
        <v>3059</v>
      </c>
      <c r="J10" s="981"/>
      <c r="K10" s="2193" t="s">
        <v>3059</v>
      </c>
      <c r="L10" s="981"/>
      <c r="M10" s="2193" t="s">
        <v>1373</v>
      </c>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t="str">
        <f>K9</f>
        <v>地上</v>
      </c>
      <c r="BD10" s="29" t="str">
        <f>M9</f>
        <v>地上</v>
      </c>
      <c r="BE10" s="29">
        <f>O9</f>
        <v>0</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2"/>
      <c r="H11" s="2195"/>
      <c r="I11" s="2198" t="s">
        <v>3760</v>
      </c>
      <c r="J11" s="2199"/>
      <c r="K11" s="2198" t="s">
        <v>3762</v>
      </c>
      <c r="L11" s="2199"/>
      <c r="M11" s="2198" t="s">
        <v>3764</v>
      </c>
      <c r="N11" s="2199"/>
      <c r="O11" s="2198"/>
      <c r="P11" s="2199"/>
      <c r="Q11" s="2198"/>
      <c r="R11" s="2199"/>
      <c r="S11" s="2198"/>
      <c r="T11" s="2199"/>
      <c r="U11" s="2198"/>
      <c r="V11" s="2199"/>
      <c r="W11" s="2198"/>
      <c r="X11" s="2199"/>
      <c r="Y11" s="2198"/>
      <c r="Z11" s="2199"/>
      <c r="AA11" s="2198"/>
      <c r="AB11" s="2199"/>
      <c r="AC11" s="1292"/>
      <c r="AD11" s="2200" t="s">
        <v>1903</v>
      </c>
      <c r="AE11" s="1818"/>
      <c r="AF11" s="2200" t="s">
        <v>1903</v>
      </c>
      <c r="AG11" s="1818"/>
      <c r="AH11" s="2200" t="s">
        <v>1904</v>
      </c>
      <c r="AI11" s="2201"/>
      <c r="AJ11" s="2200" t="s">
        <v>1904</v>
      </c>
      <c r="AK11" s="1818"/>
      <c r="AL11" s="1816"/>
      <c r="AM11" s="1818"/>
      <c r="AN11" s="1816"/>
      <c r="AO11" s="1818"/>
      <c r="AP11" s="1816"/>
      <c r="AQ11" s="1818"/>
      <c r="AR11" s="1816"/>
      <c r="AS11" s="1818"/>
      <c r="AT11" s="2161"/>
      <c r="AU11" s="2178"/>
      <c r="AV11" s="1292"/>
      <c r="AW11" s="2161"/>
      <c r="AX11" s="1292"/>
      <c r="AY11" s="28"/>
      <c r="AZ11" s="28"/>
      <c r="BA11" s="28"/>
      <c r="BB11" s="2183" t="str">
        <f>I10</f>
        <v>住宅</v>
      </c>
      <c r="BC11" s="2183" t="str">
        <f>K10</f>
        <v>住宅</v>
      </c>
      <c r="BD11" s="2183" t="str">
        <f>M10</f>
        <v>商业</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5"/>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小高层</v>
      </c>
      <c r="BC12" s="2208" t="str">
        <f>K11</f>
        <v>平墅</v>
      </c>
      <c r="BD12" s="2208" t="str">
        <f>M11</f>
        <v>底商</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c r="D13" s="2209" t="s">
        <v>3045</v>
      </c>
      <c r="E13" s="16">
        <f>IF($C$3="是",ROUND($A$3*G13/$B$3,2),ROUND($A$3*(G13-AT13)/$B$3,2))</f>
        <v>13491.73</v>
      </c>
      <c r="F13" s="32"/>
      <c r="G13" s="33">
        <f>H13+AC13+AT13</f>
        <v>38206.339999999997</v>
      </c>
      <c r="H13" s="20">
        <f>SUMIF(I$12:AB$12,"总值",I13:AB13)</f>
        <v>38206.339999999997</v>
      </c>
      <c r="I13" s="2210">
        <f>B1住宅!K7</f>
        <v>9322.2999999999993</v>
      </c>
      <c r="J13" s="2210"/>
      <c r="K13" s="2210">
        <f>B1住宅!K8</f>
        <v>21524.799999999999</v>
      </c>
      <c r="L13" s="2210"/>
      <c r="M13" s="2210">
        <f>B1住宅!K10</f>
        <v>7359.24</v>
      </c>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5">
        <f>ROUND($AY$6*AZ13/$AZ$5,2)</f>
        <v>13491.73</v>
      </c>
      <c r="AZ13" s="16">
        <f>BA13+BL13</f>
        <v>38206.339999999997</v>
      </c>
      <c r="BA13" s="16">
        <f>SUM(BB13:BK13)</f>
        <v>38206.339999999997</v>
      </c>
      <c r="BB13" s="16">
        <f>IF($D13="是",I13-J13,0)</f>
        <v>9322.2999999999993</v>
      </c>
      <c r="BC13" s="16">
        <f>IF($D13="是",K13-L13,0)</f>
        <v>21524.799999999999</v>
      </c>
      <c r="BD13" s="16">
        <f>IF($D13="是",M13-N13,0)</f>
        <v>7359.24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92"/>
      <c r="C1" s="1392"/>
      <c r="D1" s="1392"/>
      <c r="E1" s="1392"/>
      <c r="F1" s="1392"/>
      <c r="G1" s="1392"/>
      <c r="H1" s="1392"/>
      <c r="I1" s="1392"/>
      <c r="J1" s="1392"/>
      <c r="K1" s="1392"/>
      <c r="L1" s="1392"/>
      <c r="M1" s="1392"/>
      <c r="N1" s="1392"/>
      <c r="O1" s="1392"/>
      <c r="P1" s="1392"/>
    </row>
    <row r="2" spans="1:16" ht="15">
      <c r="A2" s="3164" t="s">
        <v>1933</v>
      </c>
      <c r="B2" s="3164"/>
      <c r="C2" s="3164"/>
      <c r="D2" s="967" t="s">
        <v>1909</v>
      </c>
      <c r="E2" s="2223" t="s">
        <v>1910</v>
      </c>
      <c r="F2" s="1392"/>
      <c r="G2" s="2224"/>
      <c r="H2" s="2225"/>
      <c r="I2" s="2226" t="s">
        <v>1934</v>
      </c>
      <c r="J2" s="1392"/>
      <c r="K2" s="1392"/>
      <c r="L2" s="1392"/>
      <c r="M2" s="1392"/>
      <c r="N2" s="1427"/>
      <c r="O2" s="1392"/>
      <c r="P2" s="1392"/>
    </row>
    <row r="3" spans="1:16" ht="15.75" thickBot="1">
      <c r="A3" s="3165" t="s">
        <v>1907</v>
      </c>
      <c r="B3" s="3165"/>
      <c r="C3" s="3165"/>
      <c r="D3" s="46">
        <f>'数据-基础表'!AY6</f>
        <v>13491.73</v>
      </c>
      <c r="E3" s="46">
        <f>'数据-基础表'!AZ5</f>
        <v>38206.339999999997</v>
      </c>
      <c r="F3" s="1392"/>
      <c r="G3" s="1399"/>
      <c r="H3" s="1247" t="s">
        <v>1908</v>
      </c>
      <c r="I3" s="55">
        <f>ROUND('数据-基础表'!B3/'数据-基础表'!A3,2)</f>
        <v>2.83</v>
      </c>
      <c r="J3" s="1392"/>
      <c r="K3" s="1392"/>
      <c r="L3" s="1392"/>
      <c r="M3" s="1392"/>
      <c r="N3" s="1427"/>
      <c r="O3" s="1392"/>
      <c r="P3" s="1392"/>
    </row>
    <row r="4" spans="1:16" ht="15">
      <c r="A4" s="3166"/>
      <c r="B4" s="3167"/>
      <c r="C4" s="3168"/>
      <c r="D4" s="2227" t="s">
        <v>1909</v>
      </c>
      <c r="E4" s="2228" t="s">
        <v>1910</v>
      </c>
      <c r="F4" s="1392"/>
      <c r="G4" s="2229" t="s">
        <v>1935</v>
      </c>
      <c r="H4" s="1247" t="s">
        <v>1915</v>
      </c>
      <c r="I4" s="55">
        <f>ROUND(SUMIF('数据-基础表'!I9:AS9,"地上",'数据-基础表'!I5:AS5)/'数据-基础表'!A3,2)</f>
        <v>2.83</v>
      </c>
      <c r="J4" s="1392"/>
      <c r="K4" s="1392"/>
      <c r="L4" s="1392"/>
      <c r="M4" s="1392"/>
      <c r="N4" s="1427"/>
      <c r="O4" s="1392"/>
      <c r="P4" s="1392"/>
    </row>
    <row r="5" spans="1:16">
      <c r="A5" s="47" t="s">
        <v>1911</v>
      </c>
      <c r="B5" s="3169" t="s">
        <v>1912</v>
      </c>
      <c r="C5" s="3169"/>
      <c r="D5" s="48">
        <f>ROUND($D$3*E5/$E$3,2)</f>
        <v>10892.98</v>
      </c>
      <c r="E5" s="49">
        <f>SUMIF('数据-基础表'!$11:$11,"住宅",'数据-基础表'!$5:$5)</f>
        <v>30847.1</v>
      </c>
      <c r="F5" s="1392"/>
      <c r="G5" s="1399"/>
      <c r="H5" s="1247" t="s">
        <v>1908</v>
      </c>
      <c r="I5" s="55">
        <f>ROUND(E31/D31,2)</f>
        <v>2.83</v>
      </c>
      <c r="J5" s="1392"/>
      <c r="K5" s="1392"/>
      <c r="L5" s="1392"/>
      <c r="M5" s="1392"/>
      <c r="N5" s="1392"/>
      <c r="O5" s="1392"/>
      <c r="P5" s="1392"/>
    </row>
    <row r="6" spans="1:16" ht="15" thickBot="1">
      <c r="A6" s="2230"/>
      <c r="B6" s="3169" t="s">
        <v>1913</v>
      </c>
      <c r="C6" s="3169"/>
      <c r="D6" s="48">
        <f>ROUND($D$3*E6/$E$3,2)</f>
        <v>2598.75</v>
      </c>
      <c r="E6" s="49">
        <f>E3-E5</f>
        <v>7359.239999999998</v>
      </c>
      <c r="F6" s="1392"/>
      <c r="G6" s="2231" t="s">
        <v>1914</v>
      </c>
      <c r="H6" s="1399" t="s">
        <v>1915</v>
      </c>
      <c r="I6" s="939">
        <f>ROUND(F31/D31,2)</f>
        <v>2.83</v>
      </c>
      <c r="J6" s="1392"/>
      <c r="K6" s="1392"/>
      <c r="L6" s="1392"/>
      <c r="M6" s="1392"/>
      <c r="N6" s="1392"/>
      <c r="O6" s="1392"/>
      <c r="P6" s="1392"/>
    </row>
    <row r="7" spans="1:16" ht="15">
      <c r="A7" s="3161"/>
      <c r="B7" s="3162"/>
      <c r="C7" s="3163"/>
      <c r="D7" s="2227" t="s">
        <v>1909</v>
      </c>
      <c r="E7" s="2232" t="s">
        <v>1916</v>
      </c>
      <c r="F7" s="1392"/>
      <c r="G7" s="2224" t="s">
        <v>1917</v>
      </c>
      <c r="H7" s="64"/>
      <c r="I7" s="420">
        <f>土地信息!J5</f>
        <v>2</v>
      </c>
      <c r="J7" s="1392"/>
      <c r="K7" s="1392"/>
      <c r="L7" s="1392"/>
      <c r="M7" s="1392"/>
      <c r="N7" s="1392"/>
      <c r="O7" s="1392"/>
      <c r="P7" s="1392"/>
    </row>
    <row r="8" spans="1:16">
      <c r="A8" s="47" t="s">
        <v>1918</v>
      </c>
      <c r="B8" s="50" t="s">
        <v>1919</v>
      </c>
      <c r="C8" s="48" t="s">
        <v>1920</v>
      </c>
      <c r="D8" s="48">
        <f t="shared" ref="D8:D15" si="0">ROUND($D$3*E8/$E$3,2)</f>
        <v>13491.73</v>
      </c>
      <c r="E8" s="51">
        <f>SUMIF('数据-基础表'!BB10:BK10,"地上",'数据-基础表'!BB5:BK5)</f>
        <v>38206.339999999997</v>
      </c>
      <c r="F8" s="1392"/>
      <c r="G8" s="2233"/>
      <c r="H8" s="2233"/>
      <c r="I8" s="1392"/>
      <c r="J8" s="1392"/>
      <c r="K8" s="1392"/>
      <c r="L8" s="1392"/>
      <c r="M8" s="1392"/>
      <c r="N8" s="1392"/>
      <c r="O8" s="1392"/>
      <c r="P8" s="1392"/>
    </row>
    <row r="9" spans="1:16">
      <c r="A9" s="2234"/>
      <c r="B9" s="2235"/>
      <c r="C9" s="48" t="s">
        <v>1921</v>
      </c>
      <c r="D9" s="48">
        <f t="shared" si="0"/>
        <v>0</v>
      </c>
      <c r="E9" s="52">
        <v>0</v>
      </c>
      <c r="F9" s="1392"/>
      <c r="G9" s="2233"/>
      <c r="H9" s="2233"/>
      <c r="I9" s="1392"/>
      <c r="J9" s="1392"/>
      <c r="K9" s="1392"/>
      <c r="L9" s="1392"/>
      <c r="M9" s="1392"/>
      <c r="N9" s="1392"/>
      <c r="O9" s="1392"/>
      <c r="P9" s="1392"/>
    </row>
    <row r="10" spans="1:16">
      <c r="A10" s="2234"/>
      <c r="B10" s="2235"/>
      <c r="C10" s="48" t="s">
        <v>1930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1925</v>
      </c>
      <c r="D16" s="50">
        <f>SUM(D8:D15)</f>
        <v>13491.73</v>
      </c>
      <c r="E16" s="53">
        <f>SUM(E8:E15)</f>
        <v>38206.339999999997</v>
      </c>
      <c r="F16" s="1392"/>
      <c r="G16" s="2233"/>
      <c r="H16" s="2236" t="s">
        <v>1937</v>
      </c>
      <c r="I16" s="2237"/>
      <c r="J16" s="1392"/>
      <c r="K16" s="3158" t="s">
        <v>1937</v>
      </c>
      <c r="L16" s="3159"/>
      <c r="M16" s="3159"/>
      <c r="N16" s="3159"/>
      <c r="O16" s="3159"/>
      <c r="P16" s="3160"/>
    </row>
    <row r="17" spans="1:19" ht="15">
      <c r="A17" s="2238" t="s">
        <v>1938</v>
      </c>
      <c r="B17" s="2239" t="s">
        <v>1939</v>
      </c>
      <c r="C17" s="2240" t="s">
        <v>1940</v>
      </c>
      <c r="D17" s="2241" t="s">
        <v>1928</v>
      </c>
      <c r="E17" s="2242" t="s">
        <v>1929</v>
      </c>
      <c r="F17" s="2243"/>
      <c r="G17" s="2244"/>
      <c r="H17" s="2245" t="s">
        <v>1941</v>
      </c>
      <c r="I17" s="2246" t="s">
        <v>1926</v>
      </c>
      <c r="J17" s="1392"/>
      <c r="K17" s="3155" t="s">
        <v>1942</v>
      </c>
      <c r="L17" s="3156"/>
      <c r="M17" s="3157"/>
      <c r="N17" s="3155" t="s">
        <v>1943</v>
      </c>
      <c r="O17" s="3156"/>
      <c r="P17" s="3157"/>
      <c r="R17" s="2224" t="s">
        <v>1944</v>
      </c>
      <c r="S17" s="64"/>
    </row>
    <row r="18" spans="1:19" ht="15">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c r="A19" s="2255"/>
      <c r="B19" s="50" t="s">
        <v>1927</v>
      </c>
      <c r="C19" s="2950" t="s">
        <v>3765</v>
      </c>
      <c r="D19" s="48">
        <f>ROUND($D$3*E19/$E$3,2)</f>
        <v>3291.97</v>
      </c>
      <c r="E19" s="56">
        <f t="shared" ref="E19:E26" si="1">SUM(F19:G19)</f>
        <v>9322.2999999999993</v>
      </c>
      <c r="F19" s="57">
        <f>'数据-基础表'!I13</f>
        <v>9322.2999999999993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3291.97</v>
      </c>
      <c r="S19" s="1248">
        <f t="shared" si="5"/>
        <v>9322.2999999999993</v>
      </c>
    </row>
    <row r="20" spans="1:19">
      <c r="A20" s="2258"/>
      <c r="B20" s="50" t="s">
        <v>1955</v>
      </c>
      <c r="C20" s="2950" t="s">
        <v>3766</v>
      </c>
      <c r="D20" s="48">
        <f t="shared" ref="D20:D26" si="6">ROUND($D$3*E20/$E$3,2)</f>
        <v>7601.01</v>
      </c>
      <c r="E20" s="56">
        <f t="shared" si="1"/>
        <v>21524.799999999999</v>
      </c>
      <c r="F20" s="57">
        <f>'数据-基础表'!K13</f>
        <v>21524.799999999999</v>
      </c>
      <c r="G20" s="58"/>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7601.01</v>
      </c>
      <c r="S20" s="1248">
        <f t="shared" si="5"/>
        <v>21524.799999999999</v>
      </c>
    </row>
    <row r="21" spans="1:19">
      <c r="A21" s="2258"/>
      <c r="B21" s="50" t="s">
        <v>1955</v>
      </c>
      <c r="C21" s="2950" t="s">
        <v>3767</v>
      </c>
      <c r="D21" s="48">
        <f t="shared" si="6"/>
        <v>2598.75</v>
      </c>
      <c r="E21" s="56">
        <f t="shared" si="1"/>
        <v>7359.24</v>
      </c>
      <c r="F21" s="57">
        <f>'数据-基础表'!M13</f>
        <v>7359.24</v>
      </c>
      <c r="G21" s="58"/>
      <c r="H21" s="723">
        <f t="shared" si="7"/>
        <v>0</v>
      </c>
      <c r="I21" s="51">
        <f t="shared" si="2"/>
        <v>0</v>
      </c>
      <c r="J21" s="1392"/>
      <c r="K21" s="1391">
        <f t="shared" si="3"/>
        <v>0</v>
      </c>
      <c r="L21" s="1247">
        <f t="shared" si="4"/>
        <v>0</v>
      </c>
      <c r="M21" s="1403">
        <f t="shared" si="8"/>
        <v>0</v>
      </c>
      <c r="N21" s="2256"/>
      <c r="O21" s="2257"/>
      <c r="P21" s="1403">
        <f t="shared" si="9"/>
        <v>0</v>
      </c>
      <c r="R21" s="1247">
        <f t="shared" si="5"/>
        <v>2598.75</v>
      </c>
      <c r="S21" s="1248">
        <f t="shared" si="5"/>
        <v>7359.24</v>
      </c>
    </row>
    <row r="22" spans="1:19">
      <c r="A22" s="2258"/>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1956</v>
      </c>
      <c r="D27" s="1393">
        <f>SUM(D19:D26)</f>
        <v>13491.73</v>
      </c>
      <c r="E27" s="1394">
        <f>IF(SUM(E19:E26)='数据-基础表'!BA5,SUM(E19:E26),IF(F27="地上面积有误","面积有误","地下面积有误"))</f>
        <v>38206.339999999997</v>
      </c>
      <c r="F27" s="1393">
        <f>IF(SUM(F19:F26)=E8,SUM(F19:F26),"地上面积有误")</f>
        <v>38206.339999999997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13491.73</v>
      </c>
      <c r="S27" s="1247">
        <f>IF(SUM(S19:S26)=$E$3,SUM(S19:S26),SUM(S19:S26)&amp;"误差"&amp;ROUND(SUM(S19:S26)-E3,2))</f>
        <v>38206.339999999997</v>
      </c>
    </row>
    <row r="28" spans="1:19">
      <c r="A28" s="2258"/>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1957</v>
      </c>
      <c r="C29" s="226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1960</v>
      </c>
      <c r="D31" s="729">
        <f>D27+D30</f>
        <v>13491.73</v>
      </c>
      <c r="E31" s="729">
        <f>E27+E30</f>
        <v>38206.339999999997</v>
      </c>
      <c r="F31" s="730">
        <f>F27+F30</f>
        <v>38206.339999999997</v>
      </c>
      <c r="G31" s="731">
        <f>G27+G30</f>
        <v>0</v>
      </c>
      <c r="H31" s="1392"/>
      <c r="I31" s="1392"/>
      <c r="J31" s="1392"/>
      <c r="K31" s="1392"/>
      <c r="L31" s="1392"/>
      <c r="M31" s="1392"/>
      <c r="N31" s="1392"/>
      <c r="O31" s="1392"/>
      <c r="P31" s="1392"/>
    </row>
    <row r="32" spans="1:19">
      <c r="A32" s="2229"/>
      <c r="B32" s="2229" t="s">
        <v>1961</v>
      </c>
      <c r="C32" s="2229"/>
      <c r="D32" s="2229"/>
      <c r="E32" s="1274">
        <f>SUMIF(C19:C26,"*住宅*",E19:E26)</f>
        <v>0</v>
      </c>
      <c r="F32" s="2229"/>
      <c r="G32" s="2229"/>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B6" sqref="B6"/>
    </sheetView>
  </sheetViews>
  <sheetFormatPr defaultRowHeight="13.5"/>
  <cols>
    <col min="1" max="1" width="13.25" customWidth="1"/>
    <col min="2" max="2" width="11.625" bestFit="1" customWidth="1"/>
    <col min="3" max="3" width="15.625" bestFit="1" customWidth="1"/>
    <col min="4" max="4" width="11.625" bestFit="1" customWidth="1"/>
    <col min="7" max="7" width="11.625" customWidth="1"/>
    <col min="8" max="8" width="10.25" customWidth="1"/>
    <col min="9" max="9" width="11.25" customWidth="1"/>
    <col min="10" max="10" width="20" bestFit="1" customWidth="1"/>
    <col min="11" max="11" width="12.75" bestFit="1" customWidth="1"/>
  </cols>
  <sheetData>
    <row r="1" spans="1:14" ht="14.25" thickBot="1"/>
    <row r="2" spans="1:14" ht="23.25" thickBot="1">
      <c r="A2" s="2988" t="s">
        <v>3306</v>
      </c>
      <c r="B2" s="2989" t="s">
        <v>3307</v>
      </c>
      <c r="C2" s="2989" t="s">
        <v>3308</v>
      </c>
      <c r="D2" s="2989" t="s">
        <v>3309</v>
      </c>
      <c r="E2" s="2989" t="s">
        <v>3062</v>
      </c>
      <c r="F2" s="2989" t="s">
        <v>3310</v>
      </c>
      <c r="G2" s="2989" t="s">
        <v>3311</v>
      </c>
    </row>
    <row r="3" spans="1:14" ht="14.25" thickBot="1">
      <c r="A3" s="3170" t="s">
        <v>3312</v>
      </c>
      <c r="B3" s="2990" t="s">
        <v>3313</v>
      </c>
      <c r="C3" s="2991">
        <v>45502</v>
      </c>
      <c r="D3" s="2991">
        <v>104654.6</v>
      </c>
      <c r="E3" s="2992" t="s">
        <v>3059</v>
      </c>
      <c r="F3" s="3172">
        <v>308000</v>
      </c>
      <c r="G3" s="3174">
        <v>19048.66</v>
      </c>
      <c r="J3">
        <f>D3/C3</f>
        <v>2.3000000000000003</v>
      </c>
      <c r="K3">
        <v>2.2999999999999998</v>
      </c>
    </row>
    <row r="4" spans="1:14" ht="14.25" thickBot="1">
      <c r="A4" s="3171"/>
      <c r="B4" s="2990" t="s">
        <v>3314</v>
      </c>
      <c r="C4" s="2991">
        <v>19667.8</v>
      </c>
      <c r="D4" s="2991">
        <v>57036.6</v>
      </c>
      <c r="E4" s="2992" t="s">
        <v>1373</v>
      </c>
      <c r="F4" s="3173"/>
      <c r="G4" s="3175"/>
      <c r="J4">
        <f>D4/C4</f>
        <v>2.8999989831094481</v>
      </c>
      <c r="K4">
        <v>2.9</v>
      </c>
    </row>
    <row r="5" spans="1:14" ht="14.25" thickBot="1">
      <c r="A5" s="3170" t="s">
        <v>3315</v>
      </c>
      <c r="B5" s="2990" t="s">
        <v>3316</v>
      </c>
      <c r="C5" s="2991">
        <v>45488.7</v>
      </c>
      <c r="D5" s="2991">
        <v>90977.4</v>
      </c>
      <c r="E5" s="2992" t="s">
        <v>3059</v>
      </c>
      <c r="F5" s="3172">
        <v>302000</v>
      </c>
      <c r="G5" s="3174">
        <v>18035.47</v>
      </c>
      <c r="J5">
        <f>D5/C5</f>
        <v>2</v>
      </c>
      <c r="K5">
        <v>2</v>
      </c>
    </row>
    <row r="6" spans="1:14" ht="14.25" thickBot="1">
      <c r="A6" s="3171"/>
      <c r="B6" s="2990" t="s">
        <v>3317</v>
      </c>
      <c r="C6" s="2991">
        <v>19117.599999999999</v>
      </c>
      <c r="D6" s="2991">
        <v>76470.399999999994</v>
      </c>
      <c r="E6" s="2992" t="s">
        <v>1373</v>
      </c>
      <c r="F6" s="3173"/>
      <c r="G6" s="3175"/>
      <c r="J6">
        <f>D6/C6</f>
        <v>4</v>
      </c>
      <c r="K6">
        <v>4</v>
      </c>
    </row>
    <row r="7" spans="1:14" ht="14.25" thickBot="1">
      <c r="A7" s="2993" t="s">
        <v>37</v>
      </c>
      <c r="B7" s="2990"/>
      <c r="C7" s="2991">
        <v>129776.1</v>
      </c>
      <c r="D7" s="2991">
        <v>329139</v>
      </c>
      <c r="E7" s="2990"/>
      <c r="F7" s="2994">
        <v>610000</v>
      </c>
      <c r="G7" s="2991">
        <v>18533.2</v>
      </c>
    </row>
    <row r="8" spans="1:14">
      <c r="D8" s="2995"/>
    </row>
    <row r="9" spans="1:14">
      <c r="C9">
        <f>(D3+D5)/(C3+C5)</f>
        <v>2.1500219253176422</v>
      </c>
    </row>
    <row r="10" spans="1:14">
      <c r="A10" s="2996" t="s">
        <v>3318</v>
      </c>
      <c r="F10" s="3176" t="s">
        <v>3319</v>
      </c>
      <c r="G10" s="3177"/>
      <c r="K10" s="2996" t="s">
        <v>3320</v>
      </c>
      <c r="L10" s="2996" t="s">
        <v>3321</v>
      </c>
      <c r="M10" s="2996" t="s">
        <v>3322</v>
      </c>
      <c r="N10" s="2997" t="s">
        <v>3323</v>
      </c>
    </row>
    <row r="11" spans="1:14" ht="14.25">
      <c r="A11" s="2996" t="s">
        <v>3324</v>
      </c>
      <c r="B11">
        <v>45488.7</v>
      </c>
      <c r="C11" s="2998"/>
      <c r="F11" s="2999" t="s">
        <v>3325</v>
      </c>
      <c r="G11" s="2999" t="s">
        <v>3326</v>
      </c>
      <c r="J11" s="2996" t="s">
        <v>3327</v>
      </c>
      <c r="K11" s="3000">
        <f>'[1]数据-汇总表'!F27</f>
        <v>38206.339999999997</v>
      </c>
      <c r="L11">
        <v>20000</v>
      </c>
      <c r="M11">
        <f>ROUND(L11*K11/10000,0)</f>
        <v>76413</v>
      </c>
      <c r="N11">
        <f>[1]土地案例!L28</f>
        <v>76727</v>
      </c>
    </row>
    <row r="12" spans="1:14" ht="14.25">
      <c r="A12" s="2997" t="s">
        <v>3328</v>
      </c>
      <c r="B12" s="3001">
        <v>68296</v>
      </c>
      <c r="F12" s="3002" t="s">
        <v>3329</v>
      </c>
      <c r="G12" s="3002" t="s">
        <v>3330</v>
      </c>
      <c r="J12" s="2996" t="s">
        <v>3331</v>
      </c>
      <c r="K12" s="3000">
        <f>D4+D6</f>
        <v>133507</v>
      </c>
      <c r="L12">
        <v>13000</v>
      </c>
      <c r="M12">
        <f>ROUND(L12*K12/10000,0)</f>
        <v>173559</v>
      </c>
      <c r="N12">
        <f>[2]土地案例!$K$28</f>
        <v>0.6</v>
      </c>
    </row>
    <row r="13" spans="1:14">
      <c r="K13">
        <f>SUM(K11:K12)</f>
        <v>171713.34</v>
      </c>
      <c r="M13">
        <f>M11+M12</f>
        <v>249972</v>
      </c>
      <c r="N13">
        <f>SUM(N11:N12)</f>
        <v>76727.600000000006</v>
      </c>
    </row>
    <row r="14" spans="1:14">
      <c r="A14" s="3178" t="s">
        <v>3332</v>
      </c>
      <c r="B14" s="3179"/>
      <c r="C14" s="3179"/>
      <c r="D14" s="3180"/>
    </row>
    <row r="15" spans="1:14">
      <c r="A15" s="3003" t="s">
        <v>3333</v>
      </c>
      <c r="B15" s="3003" t="s">
        <v>3334</v>
      </c>
      <c r="C15" s="3003" t="s">
        <v>3335</v>
      </c>
      <c r="D15" s="3003" t="s">
        <v>3336</v>
      </c>
    </row>
    <row r="16" spans="1:14">
      <c r="A16" s="3003" t="s">
        <v>3337</v>
      </c>
      <c r="B16" s="2951">
        <v>7</v>
      </c>
      <c r="C16" s="2951">
        <v>6138.26</v>
      </c>
      <c r="D16" s="2951">
        <v>19.8</v>
      </c>
    </row>
    <row r="17" spans="1:15">
      <c r="A17" s="3003" t="s">
        <v>3338</v>
      </c>
      <c r="B17" s="2951">
        <v>7</v>
      </c>
      <c r="C17" s="2951">
        <v>5132.32</v>
      </c>
      <c r="D17" s="2951">
        <v>19.8</v>
      </c>
      <c r="J17">
        <f>25000/(K11+K12)</f>
        <v>0.14559148403962091</v>
      </c>
    </row>
    <row r="18" spans="1:15">
      <c r="A18" s="3003" t="s">
        <v>3339</v>
      </c>
      <c r="B18" s="2951">
        <v>6</v>
      </c>
      <c r="C18" s="2951">
        <v>3258.53</v>
      </c>
      <c r="D18" s="2951">
        <v>16.649999999999999</v>
      </c>
      <c r="F18" s="3004">
        <f>ROUND((C38-C37)/B11,2)</f>
        <v>2</v>
      </c>
      <c r="G18">
        <f>ROUND((M41+M42)/F18,2)</f>
        <v>12679.3</v>
      </c>
    </row>
    <row r="19" spans="1:15">
      <c r="A19" s="3003" t="s">
        <v>3340</v>
      </c>
      <c r="B19" s="2951">
        <v>6</v>
      </c>
      <c r="C19" s="2951">
        <v>3430.28</v>
      </c>
      <c r="D19" s="2951">
        <v>16.649999999999999</v>
      </c>
    </row>
    <row r="20" spans="1:15">
      <c r="A20" s="3005" t="s">
        <v>3341</v>
      </c>
      <c r="B20" s="3006">
        <v>20</v>
      </c>
      <c r="C20" s="3006">
        <v>8410.58</v>
      </c>
      <c r="D20" s="3006">
        <v>61.05</v>
      </c>
    </row>
    <row r="21" spans="1:15">
      <c r="A21" s="3005" t="s">
        <v>3342</v>
      </c>
      <c r="B21" s="3006">
        <v>21</v>
      </c>
      <c r="C21" s="3006">
        <v>8824.2000000000007</v>
      </c>
      <c r="D21" s="3006">
        <v>64.05</v>
      </c>
    </row>
    <row r="22" spans="1:15">
      <c r="A22" s="3005" t="s">
        <v>3343</v>
      </c>
      <c r="B22" s="3006">
        <v>21</v>
      </c>
      <c r="C22" s="3006">
        <v>9110.01</v>
      </c>
      <c r="D22" s="3006">
        <v>65.95</v>
      </c>
    </row>
    <row r="23" spans="1:15">
      <c r="A23" s="3005" t="s">
        <v>3344</v>
      </c>
      <c r="B23" s="3006">
        <v>20</v>
      </c>
      <c r="C23" s="3006">
        <v>8749.01</v>
      </c>
      <c r="D23" s="3006">
        <v>62.95</v>
      </c>
      <c r="H23" s="3176" t="s">
        <v>3345</v>
      </c>
      <c r="I23" s="3177"/>
      <c r="J23" s="3177"/>
      <c r="K23" s="3177"/>
      <c r="L23" s="3177"/>
      <c r="M23" s="3177"/>
      <c r="N23" s="3177"/>
      <c r="O23" s="3177"/>
    </row>
    <row r="24" spans="1:15" ht="40.5">
      <c r="A24" s="3005" t="s">
        <v>3346</v>
      </c>
      <c r="B24" s="3006">
        <v>20</v>
      </c>
      <c r="C24" s="3006">
        <v>8859.2800000000007</v>
      </c>
      <c r="D24" s="3006">
        <v>62.95</v>
      </c>
      <c r="H24" s="3007" t="s">
        <v>3347</v>
      </c>
      <c r="I24" s="3007" t="s">
        <v>3348</v>
      </c>
      <c r="J24" s="3008" t="s">
        <v>3349</v>
      </c>
      <c r="K24" s="3008" t="s">
        <v>3350</v>
      </c>
      <c r="L24" s="3008" t="s">
        <v>3351</v>
      </c>
      <c r="M24" s="3008" t="s">
        <v>3352</v>
      </c>
      <c r="N24" s="3008" t="s">
        <v>3353</v>
      </c>
      <c r="O24" s="3008" t="s">
        <v>3354</v>
      </c>
    </row>
    <row r="25" spans="1:15">
      <c r="A25" s="3003" t="s">
        <v>3355</v>
      </c>
      <c r="B25" s="2951">
        <v>6</v>
      </c>
      <c r="C25" s="2951">
        <v>3196.59</v>
      </c>
      <c r="D25" s="2951">
        <v>16.649999999999999</v>
      </c>
      <c r="H25" s="3009" t="s">
        <v>3356</v>
      </c>
      <c r="I25" s="3009" t="s">
        <v>3357</v>
      </c>
      <c r="J25" s="3007">
        <v>43109.709999999992</v>
      </c>
      <c r="K25" s="3007">
        <v>20397.169999999998</v>
      </c>
      <c r="L25" s="3007">
        <v>77896</v>
      </c>
      <c r="M25" s="3007">
        <v>18069</v>
      </c>
      <c r="N25" s="3007">
        <v>38190</v>
      </c>
      <c r="O25" s="3007">
        <v>77896</v>
      </c>
    </row>
    <row r="26" spans="1:15">
      <c r="A26" s="3003" t="s">
        <v>3358</v>
      </c>
      <c r="B26" s="2951">
        <v>6</v>
      </c>
      <c r="C26" s="2951">
        <v>3430.28</v>
      </c>
      <c r="D26" s="2951">
        <v>16.649999999999999</v>
      </c>
      <c r="H26" s="3009" t="s">
        <v>3359</v>
      </c>
      <c r="I26" s="3009" t="s">
        <v>3360</v>
      </c>
      <c r="J26" s="3007">
        <v>76470.399999999994</v>
      </c>
      <c r="K26" s="3007">
        <v>19117.599999999999</v>
      </c>
      <c r="L26" s="3007">
        <v>98900</v>
      </c>
      <c r="M26" s="3007">
        <v>12933</v>
      </c>
      <c r="N26" s="3007">
        <v>51732</v>
      </c>
      <c r="O26" s="3007">
        <v>98900</v>
      </c>
    </row>
    <row r="27" spans="1:15">
      <c r="A27" s="3003" t="s">
        <v>3361</v>
      </c>
      <c r="B27" s="2951">
        <v>15</v>
      </c>
      <c r="C27" s="2951">
        <v>3907.98</v>
      </c>
      <c r="D27" s="2951">
        <v>42.7</v>
      </c>
      <c r="H27" s="3009" t="s">
        <v>3362</v>
      </c>
      <c r="I27" s="3009" t="s">
        <v>3360</v>
      </c>
      <c r="J27" s="3007">
        <v>57036.6</v>
      </c>
      <c r="K27" s="3007">
        <v>19667.8</v>
      </c>
      <c r="L27" s="3007">
        <v>74995</v>
      </c>
      <c r="M27" s="3007">
        <v>13149</v>
      </c>
      <c r="N27" s="3007">
        <v>38131</v>
      </c>
      <c r="O27" s="3007">
        <v>74995</v>
      </c>
    </row>
    <row r="28" spans="1:15">
      <c r="A28" s="3003" t="s">
        <v>3363</v>
      </c>
      <c r="B28" s="2951">
        <v>15</v>
      </c>
      <c r="C28" s="2951">
        <v>4129.55</v>
      </c>
      <c r="D28" s="2951">
        <v>44.6</v>
      </c>
      <c r="H28" s="3181" t="s">
        <v>3364</v>
      </c>
      <c r="I28" s="3181"/>
      <c r="J28" s="3007">
        <f>SUM(J25:J27)</f>
        <v>176616.71</v>
      </c>
      <c r="K28" s="3007">
        <f t="shared" ref="K28:O28" si="0">SUM(K25:K27)</f>
        <v>59182.569999999992</v>
      </c>
      <c r="L28" s="3007">
        <f t="shared" si="0"/>
        <v>251791</v>
      </c>
      <c r="M28" s="3007" t="s">
        <v>3365</v>
      </c>
      <c r="N28" s="3007" t="s">
        <v>3365</v>
      </c>
      <c r="O28" s="3007">
        <f t="shared" si="0"/>
        <v>251791</v>
      </c>
    </row>
    <row r="29" spans="1:15">
      <c r="A29" s="3003" t="s">
        <v>3366</v>
      </c>
      <c r="B29" s="2951">
        <v>15</v>
      </c>
      <c r="C29" s="2951">
        <v>4064.53</v>
      </c>
      <c r="D29" s="2951">
        <v>44.6</v>
      </c>
      <c r="K29" s="3010"/>
    </row>
    <row r="30" spans="1:15">
      <c r="A30" s="3003" t="s">
        <v>3367</v>
      </c>
      <c r="B30" s="2951">
        <v>7</v>
      </c>
      <c r="C30" s="2951">
        <v>6138.26</v>
      </c>
      <c r="D30" s="2951">
        <v>19.8</v>
      </c>
    </row>
    <row r="31" spans="1:15">
      <c r="A31" s="3003" t="s">
        <v>3368</v>
      </c>
      <c r="B31" s="2951">
        <v>1</v>
      </c>
      <c r="C31" s="2951">
        <v>120.9</v>
      </c>
      <c r="D31" s="2951">
        <v>5.2</v>
      </c>
    </row>
    <row r="32" spans="1:15">
      <c r="A32" s="3003" t="s">
        <v>3369</v>
      </c>
      <c r="B32" s="2951">
        <v>2</v>
      </c>
      <c r="C32" s="2951">
        <v>1686.44</v>
      </c>
      <c r="D32" s="2951">
        <v>8.25</v>
      </c>
    </row>
    <row r="33" spans="1:13">
      <c r="A33" s="3003" t="s">
        <v>3370</v>
      </c>
      <c r="B33" s="2951">
        <v>2</v>
      </c>
      <c r="C33" s="2951">
        <v>693.52</v>
      </c>
      <c r="D33" s="2951">
        <v>9.9</v>
      </c>
    </row>
    <row r="34" spans="1:13">
      <c r="A34" s="3003" t="s">
        <v>3371</v>
      </c>
      <c r="B34" s="2951">
        <v>2</v>
      </c>
      <c r="C34" s="2951">
        <v>701.32</v>
      </c>
      <c r="D34" s="2951">
        <v>9</v>
      </c>
    </row>
    <row r="35" spans="1:13">
      <c r="A35" s="3003" t="s">
        <v>3372</v>
      </c>
      <c r="B35" s="2951">
        <v>1</v>
      </c>
      <c r="C35" s="2951">
        <v>800.56</v>
      </c>
      <c r="D35" s="2951">
        <v>8.25</v>
      </c>
    </row>
    <row r="36" spans="1:13">
      <c r="A36" s="3003" t="s">
        <v>3373</v>
      </c>
      <c r="B36" s="2951">
        <v>1</v>
      </c>
      <c r="C36" s="2951">
        <v>194</v>
      </c>
      <c r="D36" s="2951">
        <v>4.7</v>
      </c>
    </row>
    <row r="37" spans="1:13">
      <c r="A37" s="3003" t="s">
        <v>3374</v>
      </c>
      <c r="B37" s="3003" t="s">
        <v>3375</v>
      </c>
      <c r="C37" s="2951">
        <v>37840.089999999997</v>
      </c>
      <c r="D37" s="2951">
        <v>4.88</v>
      </c>
    </row>
    <row r="38" spans="1:13">
      <c r="A38" s="3011"/>
      <c r="B38" s="3011" t="s">
        <v>3364</v>
      </c>
      <c r="C38" s="3012">
        <f>SUM(C16:C37)</f>
        <v>128816.48999999999</v>
      </c>
      <c r="D38" s="3012"/>
      <c r="G38" s="3176" t="s">
        <v>3376</v>
      </c>
      <c r="H38" s="3177"/>
      <c r="I38" s="3177"/>
      <c r="J38" s="3177"/>
      <c r="K38" s="3177"/>
      <c r="L38" s="2996" t="s">
        <v>3377</v>
      </c>
    </row>
    <row r="39" spans="1:13">
      <c r="A39" s="3011"/>
      <c r="B39" s="3011" t="s">
        <v>3378</v>
      </c>
      <c r="C39" s="3012">
        <f>SUM(C16:C30)</f>
        <v>86779.659999999989</v>
      </c>
      <c r="D39" s="3012"/>
      <c r="G39" s="3013" t="s">
        <v>3379</v>
      </c>
      <c r="H39" s="3013" t="s">
        <v>3380</v>
      </c>
      <c r="I39" s="3013"/>
      <c r="J39" s="3013" t="s">
        <v>3381</v>
      </c>
      <c r="K39" s="3013" t="s">
        <v>3382</v>
      </c>
    </row>
    <row r="40" spans="1:13">
      <c r="A40" s="2996"/>
      <c r="G40" s="3013" t="s">
        <v>3383</v>
      </c>
      <c r="H40" s="3014">
        <v>25987</v>
      </c>
      <c r="I40" s="3014"/>
      <c r="J40" s="3013" t="s">
        <v>3384</v>
      </c>
      <c r="K40" s="3013" t="s">
        <v>3385</v>
      </c>
    </row>
    <row r="41" spans="1:13">
      <c r="A41" s="2996" t="s">
        <v>3386</v>
      </c>
      <c r="G41" s="3013" t="s">
        <v>3387</v>
      </c>
      <c r="H41" s="3014">
        <v>24076</v>
      </c>
      <c r="I41" s="3014"/>
      <c r="J41" s="3013" t="s">
        <v>3388</v>
      </c>
      <c r="K41" s="3013" t="s">
        <v>3389</v>
      </c>
      <c r="L41">
        <v>2426.31</v>
      </c>
      <c r="M41">
        <f>C27+C28+C29-L41</f>
        <v>9675.7500000000018</v>
      </c>
    </row>
    <row r="42" spans="1:13">
      <c r="A42" s="2996" t="s">
        <v>3324</v>
      </c>
      <c r="B42">
        <v>45502</v>
      </c>
      <c r="G42" s="3013" t="s">
        <v>3390</v>
      </c>
      <c r="H42" s="3014">
        <v>26917</v>
      </c>
      <c r="I42" s="3014"/>
      <c r="J42" s="3013" t="s">
        <v>3391</v>
      </c>
      <c r="K42" s="3013" t="s">
        <v>3392</v>
      </c>
      <c r="L42">
        <v>15041.670000000002</v>
      </c>
      <c r="M42">
        <f>C16+C17+C18+C19+C25+C26+C30-L42</f>
        <v>15682.849999999995</v>
      </c>
    </row>
    <row r="43" spans="1:13">
      <c r="A43" s="2997" t="s">
        <v>3393</v>
      </c>
      <c r="B43" s="3001">
        <v>68296</v>
      </c>
      <c r="G43" s="3013" t="s">
        <v>3394</v>
      </c>
      <c r="H43" s="3014">
        <v>24991</v>
      </c>
      <c r="I43" s="3014"/>
      <c r="J43" s="3013" t="s">
        <v>3395</v>
      </c>
      <c r="K43" s="3013" t="s">
        <v>3396</v>
      </c>
    </row>
    <row r="44" spans="1:13">
      <c r="A44" s="3182" t="s">
        <v>3397</v>
      </c>
      <c r="B44" s="3183"/>
      <c r="C44" s="3183"/>
      <c r="D44" s="3184"/>
      <c r="G44" s="3013" t="s">
        <v>3398</v>
      </c>
      <c r="H44" s="3014">
        <v>23974</v>
      </c>
      <c r="I44" s="3014"/>
      <c r="J44" s="3013" t="s">
        <v>3399</v>
      </c>
      <c r="K44" s="3013" t="s">
        <v>3400</v>
      </c>
      <c r="L44">
        <v>5999.13</v>
      </c>
      <c r="M44">
        <f>C47+C48+C49-L44</f>
        <v>6964.9199999999992</v>
      </c>
    </row>
    <row r="45" spans="1:13">
      <c r="A45" s="3003" t="s">
        <v>3381</v>
      </c>
      <c r="B45" s="3003" t="s">
        <v>3401</v>
      </c>
      <c r="C45" s="3003" t="s">
        <v>3335</v>
      </c>
      <c r="D45" s="3003" t="s">
        <v>3402</v>
      </c>
      <c r="G45" s="3013" t="s">
        <v>3403</v>
      </c>
      <c r="H45" s="3014">
        <v>26992</v>
      </c>
      <c r="I45" s="3014"/>
      <c r="J45" s="3013" t="s">
        <v>3404</v>
      </c>
      <c r="K45" s="3013" t="s">
        <v>3405</v>
      </c>
      <c r="L45">
        <v>7397.56</v>
      </c>
      <c r="M45">
        <f>C46+C57+C58-L45</f>
        <v>10786.189999999999</v>
      </c>
    </row>
    <row r="46" spans="1:13">
      <c r="A46" s="3003" t="s">
        <v>3337</v>
      </c>
      <c r="B46" s="2951">
        <v>7</v>
      </c>
      <c r="C46" s="2951">
        <v>6061.25</v>
      </c>
      <c r="D46" s="2951">
        <v>19.8</v>
      </c>
      <c r="L46">
        <f>SUM(L41:L45)</f>
        <v>30864.670000000006</v>
      </c>
      <c r="M46">
        <f>SUM(M41:M45)</f>
        <v>43109.709999999992</v>
      </c>
    </row>
    <row r="47" spans="1:13">
      <c r="A47" s="3003" t="s">
        <v>3406</v>
      </c>
      <c r="B47" s="2951">
        <v>15</v>
      </c>
      <c r="C47" s="2951">
        <v>4821.84</v>
      </c>
      <c r="D47" s="2951">
        <v>44.6</v>
      </c>
    </row>
    <row r="48" spans="1:13">
      <c r="A48" s="3003" t="s">
        <v>3407</v>
      </c>
      <c r="B48" s="2951">
        <v>15</v>
      </c>
      <c r="C48" s="2951">
        <v>4257.01</v>
      </c>
      <c r="D48" s="2951">
        <v>44.6</v>
      </c>
      <c r="F48">
        <f>ROUND((C64-C62)/B42,2)</f>
        <v>2.2999999999999998</v>
      </c>
      <c r="G48">
        <f>ROUND((M44+M45)/F48,2)</f>
        <v>7717.87</v>
      </c>
    </row>
    <row r="49" spans="1:4">
      <c r="A49" s="3003" t="s">
        <v>3340</v>
      </c>
      <c r="B49" s="2951">
        <v>15</v>
      </c>
      <c r="C49" s="2951">
        <v>3885.2</v>
      </c>
      <c r="D49" s="2951">
        <v>42.7</v>
      </c>
    </row>
    <row r="50" spans="1:4">
      <c r="A50" s="3005" t="s">
        <v>3408</v>
      </c>
      <c r="B50" s="3006">
        <v>21</v>
      </c>
      <c r="C50" s="3006">
        <v>8826.82</v>
      </c>
      <c r="D50" s="3006">
        <v>65.95</v>
      </c>
    </row>
    <row r="51" spans="1:4">
      <c r="A51" s="3005" t="s">
        <v>3409</v>
      </c>
      <c r="B51" s="3006">
        <v>21</v>
      </c>
      <c r="C51" s="3006">
        <v>8801.66</v>
      </c>
      <c r="D51" s="3006">
        <v>64.05</v>
      </c>
    </row>
    <row r="52" spans="1:4">
      <c r="A52" s="3005" t="s">
        <v>3344</v>
      </c>
      <c r="B52" s="3006">
        <v>21</v>
      </c>
      <c r="C52" s="3006">
        <v>8802.8799999999992</v>
      </c>
      <c r="D52" s="3006">
        <v>64.05</v>
      </c>
    </row>
    <row r="53" spans="1:4">
      <c r="A53" s="3005" t="s">
        <v>3346</v>
      </c>
      <c r="B53" s="3006">
        <v>21</v>
      </c>
      <c r="C53" s="3006">
        <v>8802.8799999999992</v>
      </c>
      <c r="D53" s="3006">
        <v>64.05</v>
      </c>
    </row>
    <row r="54" spans="1:4">
      <c r="A54" s="3005" t="s">
        <v>3355</v>
      </c>
      <c r="B54" s="3006">
        <v>21</v>
      </c>
      <c r="C54" s="3006">
        <v>8802.8799999999992</v>
      </c>
      <c r="D54" s="3006">
        <v>64.05</v>
      </c>
    </row>
    <row r="55" spans="1:4">
      <c r="A55" s="3005" t="s">
        <v>3358</v>
      </c>
      <c r="B55" s="3006">
        <v>21</v>
      </c>
      <c r="C55" s="3006">
        <v>8802.8799999999992</v>
      </c>
      <c r="D55" s="3006">
        <v>64.05</v>
      </c>
    </row>
    <row r="56" spans="1:4">
      <c r="A56" s="3005" t="s">
        <v>3361</v>
      </c>
      <c r="B56" s="3006">
        <v>24</v>
      </c>
      <c r="C56" s="3006">
        <v>10051.700000000001</v>
      </c>
      <c r="D56" s="3006">
        <v>73.05</v>
      </c>
    </row>
    <row r="57" spans="1:4">
      <c r="A57" s="3003" t="s">
        <v>3363</v>
      </c>
      <c r="B57" s="2951">
        <v>7</v>
      </c>
      <c r="C57" s="2951">
        <v>6061.25</v>
      </c>
      <c r="D57" s="2951">
        <v>19.8</v>
      </c>
    </row>
    <row r="58" spans="1:4">
      <c r="A58" s="3003" t="s">
        <v>3366</v>
      </c>
      <c r="B58" s="2951">
        <v>7</v>
      </c>
      <c r="C58" s="2951">
        <v>6061.25</v>
      </c>
      <c r="D58" s="2951">
        <v>19.8</v>
      </c>
    </row>
    <row r="59" spans="1:4">
      <c r="A59" s="3003" t="s">
        <v>3368</v>
      </c>
      <c r="B59" s="2951">
        <v>1</v>
      </c>
      <c r="C59" s="2951">
        <v>117.08</v>
      </c>
      <c r="D59" s="2951">
        <v>5.33</v>
      </c>
    </row>
    <row r="60" spans="1:4">
      <c r="A60" s="3003" t="s">
        <v>3410</v>
      </c>
      <c r="B60" s="2951">
        <v>1</v>
      </c>
      <c r="C60" s="2951">
        <v>194</v>
      </c>
      <c r="D60" s="2951">
        <v>4.7</v>
      </c>
    </row>
    <row r="61" spans="1:4">
      <c r="A61" s="3003" t="s">
        <v>3411</v>
      </c>
      <c r="B61" s="2951">
        <v>1</v>
      </c>
      <c r="C61" s="2951">
        <v>194</v>
      </c>
      <c r="D61" s="2951">
        <v>4.7</v>
      </c>
    </row>
    <row r="62" spans="1:4">
      <c r="A62" s="3003" t="s">
        <v>3412</v>
      </c>
      <c r="B62" s="3003" t="s">
        <v>3413</v>
      </c>
      <c r="C62" s="2951">
        <v>37282.699999999997</v>
      </c>
      <c r="D62" s="2951">
        <v>4.88</v>
      </c>
    </row>
    <row r="63" spans="1:4">
      <c r="A63" s="3005" t="s">
        <v>3414</v>
      </c>
      <c r="B63" s="3006">
        <v>24</v>
      </c>
      <c r="C63" s="3006">
        <v>10108.82</v>
      </c>
      <c r="D63" s="3006">
        <v>73.05</v>
      </c>
    </row>
    <row r="64" spans="1:4">
      <c r="A64" s="3176" t="s">
        <v>3415</v>
      </c>
      <c r="B64" s="3177"/>
      <c r="C64" s="2951">
        <f>SUM(C46:C63)</f>
        <v>141936.09999999998</v>
      </c>
      <c r="D64" s="2951"/>
    </row>
  </sheetData>
  <mergeCells count="13">
    <mergeCell ref="A64:B64"/>
    <mergeCell ref="F10:G10"/>
    <mergeCell ref="A14:D14"/>
    <mergeCell ref="H23:O23"/>
    <mergeCell ref="H28:I28"/>
    <mergeCell ref="G38:K38"/>
    <mergeCell ref="A44:D44"/>
    <mergeCell ref="A3:A4"/>
    <mergeCell ref="F3:F4"/>
    <mergeCell ref="G3:G4"/>
    <mergeCell ref="A5:A6"/>
    <mergeCell ref="F5:F6"/>
    <mergeCell ref="G5:G6"/>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9"/>
  <sheetViews>
    <sheetView workbookViewId="0">
      <selection activeCell="D35" sqref="D35"/>
    </sheetView>
  </sheetViews>
  <sheetFormatPr defaultRowHeight="13.5"/>
  <cols>
    <col min="1" max="2" width="10.75" customWidth="1"/>
    <col min="3" max="3" width="11.625" customWidth="1"/>
  </cols>
  <sheetData>
    <row r="2" spans="1:4">
      <c r="A2" s="3176" t="s">
        <v>3416</v>
      </c>
      <c r="B2" s="3177"/>
      <c r="C2" s="3177"/>
      <c r="D2" s="3177"/>
    </row>
    <row r="3" spans="1:4">
      <c r="A3" s="3015" t="s">
        <v>3417</v>
      </c>
      <c r="B3" s="3016" t="s">
        <v>3418</v>
      </c>
      <c r="C3" s="3003" t="s">
        <v>3419</v>
      </c>
      <c r="D3" s="3015" t="s">
        <v>3380</v>
      </c>
    </row>
    <row r="4" spans="1:4">
      <c r="A4" s="3015" t="s">
        <v>3420</v>
      </c>
      <c r="B4" s="3016">
        <v>2017</v>
      </c>
      <c r="C4" s="2951">
        <v>105765.11999999956</v>
      </c>
      <c r="D4" s="3017">
        <v>25331</v>
      </c>
    </row>
    <row r="5" spans="1:4">
      <c r="A5" s="3015" t="s">
        <v>3420</v>
      </c>
      <c r="B5" s="3015">
        <v>2018</v>
      </c>
      <c r="C5" s="2951">
        <v>6450</v>
      </c>
      <c r="D5" s="3017">
        <v>25569</v>
      </c>
    </row>
    <row r="6" spans="1:4">
      <c r="A6" s="3015" t="s">
        <v>3421</v>
      </c>
      <c r="B6" s="3015">
        <v>2017</v>
      </c>
      <c r="C6" s="2951">
        <v>1286.6600000000003</v>
      </c>
      <c r="D6" s="3017">
        <v>29656</v>
      </c>
    </row>
    <row r="7" spans="1:4">
      <c r="A7" s="3015" t="s">
        <v>3421</v>
      </c>
      <c r="B7" s="3015">
        <v>2018</v>
      </c>
      <c r="C7" s="2951">
        <v>551.87</v>
      </c>
      <c r="D7" s="3017">
        <v>24181</v>
      </c>
    </row>
    <row r="8" spans="1:4">
      <c r="A8" s="3015" t="s">
        <v>3421</v>
      </c>
      <c r="B8" s="3018">
        <v>2019</v>
      </c>
      <c r="C8" s="2951">
        <v>6586.91</v>
      </c>
      <c r="D8" s="3019">
        <v>22884</v>
      </c>
    </row>
    <row r="9" spans="1:4">
      <c r="A9" s="3015" t="s">
        <v>3422</v>
      </c>
      <c r="B9" s="3018">
        <v>2018</v>
      </c>
      <c r="C9" s="2951">
        <v>589.81999999999994</v>
      </c>
      <c r="D9" s="3017">
        <v>30000</v>
      </c>
    </row>
    <row r="10" spans="1:4">
      <c r="A10" s="3015" t="s">
        <v>3422</v>
      </c>
      <c r="B10" s="3018">
        <v>2019</v>
      </c>
      <c r="C10" s="2951">
        <v>21712.719999999979</v>
      </c>
      <c r="D10" s="3019">
        <v>26800</v>
      </c>
    </row>
    <row r="11" spans="1:4">
      <c r="A11" s="3178" t="s">
        <v>3364</v>
      </c>
      <c r="B11" s="3185"/>
      <c r="C11" s="2951">
        <f>SUM(C4:C10)</f>
        <v>142943.09999999954</v>
      </c>
      <c r="D11" s="2951">
        <f>SUMPRODUCT(D4:D10,C4:C10)/SUM(C4:C10)</f>
        <v>25505.873362128008</v>
      </c>
    </row>
    <row r="17" spans="1:6">
      <c r="A17" s="3003" t="s">
        <v>3423</v>
      </c>
      <c r="B17" s="3003" t="s">
        <v>3424</v>
      </c>
      <c r="C17" s="3003" t="s">
        <v>3425</v>
      </c>
      <c r="D17" s="3003" t="s">
        <v>3426</v>
      </c>
      <c r="E17" s="3003" t="s">
        <v>3427</v>
      </c>
    </row>
    <row r="18" spans="1:6">
      <c r="A18" s="3003" t="s">
        <v>3428</v>
      </c>
      <c r="B18" s="3003" t="s">
        <v>3421</v>
      </c>
      <c r="C18" s="2951">
        <v>22000</v>
      </c>
      <c r="D18" s="3003" t="s">
        <v>3429</v>
      </c>
      <c r="E18" s="2951"/>
      <c r="F18" s="3020"/>
    </row>
    <row r="19" spans="1:6">
      <c r="A19" s="2951"/>
      <c r="B19" s="3003" t="s">
        <v>3430</v>
      </c>
      <c r="C19" s="3003" t="s">
        <v>3431</v>
      </c>
      <c r="D19" s="3003" t="s">
        <v>3429</v>
      </c>
      <c r="E19" s="2951"/>
    </row>
    <row r="20" spans="1:6">
      <c r="A20" s="3003" t="s">
        <v>3432</v>
      </c>
      <c r="B20" s="3003" t="s">
        <v>3420</v>
      </c>
      <c r="C20" s="2951">
        <v>33000</v>
      </c>
      <c r="D20" s="3003" t="s">
        <v>3433</v>
      </c>
      <c r="E20" s="2951"/>
    </row>
    <row r="21" spans="1:6">
      <c r="A21" s="2951"/>
      <c r="B21" s="3003" t="s">
        <v>3430</v>
      </c>
      <c r="C21" s="2951">
        <v>40000</v>
      </c>
      <c r="D21" s="3003" t="s">
        <v>3433</v>
      </c>
      <c r="E21" s="2951"/>
    </row>
    <row r="22" spans="1:6">
      <c r="A22" s="3003" t="s">
        <v>3434</v>
      </c>
      <c r="B22" s="3003" t="s">
        <v>3430</v>
      </c>
      <c r="C22" s="3003" t="s">
        <v>3431</v>
      </c>
      <c r="D22" s="3003" t="s">
        <v>3433</v>
      </c>
      <c r="E22" s="2951">
        <v>3000</v>
      </c>
    </row>
    <row r="23" spans="1:6">
      <c r="A23" s="3003" t="s">
        <v>3435</v>
      </c>
      <c r="B23" s="3003" t="s">
        <v>3421</v>
      </c>
      <c r="C23" s="3003">
        <v>24000</v>
      </c>
      <c r="D23" s="3003" t="s">
        <v>3433</v>
      </c>
      <c r="E23" s="2951"/>
    </row>
    <row r="24" spans="1:6">
      <c r="A24" s="2951"/>
      <c r="B24" s="3003" t="s">
        <v>3430</v>
      </c>
      <c r="C24" s="3003">
        <v>27000</v>
      </c>
      <c r="D24" s="3003" t="s">
        <v>3433</v>
      </c>
      <c r="E24" s="2951">
        <v>1500</v>
      </c>
    </row>
    <row r="25" spans="1:6">
      <c r="A25" s="3021" t="s">
        <v>3436</v>
      </c>
      <c r="B25" s="3022" t="s">
        <v>3421</v>
      </c>
      <c r="C25" s="3022">
        <v>23000</v>
      </c>
      <c r="D25" s="3022" t="s">
        <v>3429</v>
      </c>
      <c r="E25" s="3023"/>
    </row>
    <row r="26" spans="1:6">
      <c r="A26" s="3023"/>
      <c r="B26" s="3022" t="s">
        <v>3430</v>
      </c>
      <c r="C26" s="3022">
        <v>27000</v>
      </c>
      <c r="D26" s="3022" t="s">
        <v>3429</v>
      </c>
      <c r="E26" s="3023"/>
    </row>
    <row r="28" spans="1:6">
      <c r="B28" s="3024" t="s">
        <v>3437</v>
      </c>
    </row>
    <row r="29" spans="1:6">
      <c r="A29" s="2996" t="s">
        <v>3438</v>
      </c>
      <c r="B29">
        <v>2</v>
      </c>
    </row>
  </sheetData>
  <mergeCells count="2">
    <mergeCell ref="A2:D2"/>
    <mergeCell ref="A11:B11"/>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0"/>
  <sheetViews>
    <sheetView workbookViewId="0">
      <selection activeCell="K19" sqref="K19"/>
    </sheetView>
  </sheetViews>
  <sheetFormatPr defaultRowHeight="13.5"/>
  <cols>
    <col min="1" max="1" width="9.125" style="2981" customWidth="1"/>
    <col min="2" max="2" width="8" style="2981" bestFit="1" customWidth="1"/>
    <col min="3" max="3" width="4.75" style="2981" bestFit="1" customWidth="1"/>
    <col min="4" max="4" width="5" style="2981" bestFit="1" customWidth="1"/>
    <col min="5" max="5" width="9.375" style="2981" bestFit="1" customWidth="1"/>
    <col min="6" max="6" width="8.5" style="2981" bestFit="1" customWidth="1"/>
    <col min="7" max="7" width="10.5" style="2981" bestFit="1" customWidth="1"/>
    <col min="8" max="8" width="11.375" style="3047" customWidth="1"/>
    <col min="11" max="11" width="11.125" customWidth="1"/>
    <col min="13" max="13" width="9.375" customWidth="1"/>
    <col min="14" max="14" width="10.625" customWidth="1"/>
  </cols>
  <sheetData>
    <row r="1" spans="1:14" ht="14.25">
      <c r="A1" s="3025" t="s">
        <v>3439</v>
      </c>
      <c r="B1" s="3026"/>
      <c r="C1" s="3027"/>
      <c r="D1" s="3027"/>
      <c r="E1" s="3026"/>
      <c r="F1" s="3028"/>
      <c r="G1" s="3026"/>
      <c r="H1" s="3029"/>
    </row>
    <row r="2" spans="1:14">
      <c r="A2" s="3030">
        <f>SUBTOTAL(3,A7:A230)</f>
        <v>223</v>
      </c>
      <c r="B2" s="3030"/>
      <c r="C2" s="3031"/>
      <c r="D2" s="3031"/>
      <c r="E2" s="3030"/>
      <c r="F2" s="3030">
        <f>SUBTOTAL(3,F7:F230)</f>
        <v>223</v>
      </c>
      <c r="G2" s="3032">
        <f>SUBTOTAL(9,G7:G230)</f>
        <v>61694.200000000019</v>
      </c>
      <c r="H2" s="3033"/>
    </row>
    <row r="3" spans="1:14">
      <c r="A3" s="3188" t="s">
        <v>3440</v>
      </c>
      <c r="B3" s="3188" t="s">
        <v>3441</v>
      </c>
      <c r="C3" s="3193" t="s">
        <v>3442</v>
      </c>
      <c r="D3" s="3194" t="s">
        <v>3443</v>
      </c>
      <c r="E3" s="3197" t="s">
        <v>3444</v>
      </c>
      <c r="F3" s="3186" t="s">
        <v>3445</v>
      </c>
      <c r="G3" s="3186" t="s">
        <v>3446</v>
      </c>
      <c r="H3" s="3034"/>
    </row>
    <row r="4" spans="1:14">
      <c r="A4" s="3189"/>
      <c r="B4" s="3191"/>
      <c r="C4" s="3193"/>
      <c r="D4" s="3195"/>
      <c r="E4" s="3186"/>
      <c r="F4" s="3186"/>
      <c r="G4" s="3187"/>
      <c r="H4" s="3035"/>
    </row>
    <row r="5" spans="1:14">
      <c r="A5" s="3190"/>
      <c r="B5" s="3192"/>
      <c r="C5" s="3193"/>
      <c r="D5" s="3196"/>
      <c r="E5" s="3186"/>
      <c r="F5" s="3186"/>
      <c r="G5" s="3187"/>
      <c r="H5" s="3035"/>
    </row>
    <row r="6" spans="1:14">
      <c r="A6" s="3030"/>
      <c r="B6" s="3030"/>
      <c r="C6" s="3031"/>
      <c r="D6" s="3031"/>
      <c r="E6" s="3030"/>
      <c r="F6" s="3030"/>
      <c r="G6" s="3036"/>
      <c r="H6" s="3037"/>
      <c r="J6" s="2996" t="s">
        <v>3447</v>
      </c>
      <c r="K6" s="2996" t="s">
        <v>3448</v>
      </c>
      <c r="M6" s="2996" t="s">
        <v>3449</v>
      </c>
      <c r="N6" s="2996" t="s">
        <v>3450</v>
      </c>
    </row>
    <row r="7" spans="1:14">
      <c r="A7" s="2975">
        <v>1</v>
      </c>
      <c r="B7" s="3038" t="s">
        <v>3172</v>
      </c>
      <c r="C7" s="3039" t="str">
        <f>MID(E7,1,2)</f>
        <v>12</v>
      </c>
      <c r="D7" s="3040" t="str">
        <f>MID(E7,4,1)</f>
        <v>1</v>
      </c>
      <c r="E7" s="3040" t="s">
        <v>3451</v>
      </c>
      <c r="F7" s="3038" t="s">
        <v>3452</v>
      </c>
      <c r="G7" s="3041">
        <v>134.07</v>
      </c>
      <c r="H7" s="3042">
        <v>10</v>
      </c>
      <c r="J7" s="2996" t="s">
        <v>3453</v>
      </c>
      <c r="K7" s="3004">
        <v>9322.2999999999993</v>
      </c>
      <c r="M7" s="3000">
        <f>[1]土地信息!C38</f>
        <v>128816.48999999999</v>
      </c>
      <c r="N7" s="3000">
        <f>[1]土地信息!C5</f>
        <v>45488.7</v>
      </c>
    </row>
    <row r="8" spans="1:14">
      <c r="A8" s="2975">
        <v>2</v>
      </c>
      <c r="B8" s="3038" t="s">
        <v>3172</v>
      </c>
      <c r="C8" s="3039" t="str">
        <f t="shared" ref="C8:C49" si="0">MID(E8,1,1)</f>
        <v>1</v>
      </c>
      <c r="D8" s="3040" t="str">
        <f t="shared" ref="D8:D49" si="1">MID(E8,3,1)</f>
        <v>1</v>
      </c>
      <c r="E8" s="3040" t="s">
        <v>3454</v>
      </c>
      <c r="F8" s="3038" t="s">
        <v>3173</v>
      </c>
      <c r="G8" s="3040">
        <v>93.5</v>
      </c>
      <c r="H8" s="3043">
        <v>1</v>
      </c>
      <c r="J8" s="2996" t="s">
        <v>3455</v>
      </c>
      <c r="K8" s="3004">
        <v>21524.799999999999</v>
      </c>
    </row>
    <row r="9" spans="1:14">
      <c r="A9" s="2975">
        <v>3</v>
      </c>
      <c r="B9" s="3038" t="s">
        <v>3172</v>
      </c>
      <c r="C9" s="3039" t="str">
        <f t="shared" si="0"/>
        <v>1</v>
      </c>
      <c r="D9" s="3040" t="str">
        <f t="shared" si="1"/>
        <v>1</v>
      </c>
      <c r="E9" s="3040" t="s">
        <v>3456</v>
      </c>
      <c r="F9" s="3038" t="s">
        <v>3173</v>
      </c>
      <c r="G9" s="3040">
        <v>93.86</v>
      </c>
      <c r="H9" s="3043">
        <v>2</v>
      </c>
      <c r="J9" s="2996" t="s">
        <v>3457</v>
      </c>
      <c r="K9" s="3004">
        <f>SUM(K7:K8)</f>
        <v>30847.1</v>
      </c>
    </row>
    <row r="10" spans="1:14">
      <c r="A10" s="2975">
        <v>4</v>
      </c>
      <c r="B10" s="3038" t="s">
        <v>3172</v>
      </c>
      <c r="C10" s="3039" t="str">
        <f t="shared" si="0"/>
        <v>1</v>
      </c>
      <c r="D10" s="3040" t="str">
        <f t="shared" si="1"/>
        <v>1</v>
      </c>
      <c r="E10" s="3040" t="s">
        <v>3458</v>
      </c>
      <c r="F10" s="3038" t="s">
        <v>3173</v>
      </c>
      <c r="G10" s="3040">
        <v>93.86</v>
      </c>
      <c r="H10" s="3043">
        <v>3</v>
      </c>
      <c r="J10" s="2996" t="s">
        <v>3459</v>
      </c>
      <c r="K10">
        <f>[1]B1商业!K43</f>
        <v>7359.24</v>
      </c>
    </row>
    <row r="11" spans="1:14">
      <c r="A11" s="2975">
        <v>5</v>
      </c>
      <c r="B11" s="3038" t="s">
        <v>3172</v>
      </c>
      <c r="C11" s="3039" t="str">
        <f t="shared" si="0"/>
        <v>1</v>
      </c>
      <c r="D11" s="3040" t="str">
        <f t="shared" si="1"/>
        <v>1</v>
      </c>
      <c r="E11" s="3040" t="s">
        <v>3460</v>
      </c>
      <c r="F11" s="3038" t="s">
        <v>3173</v>
      </c>
      <c r="G11" s="3040">
        <v>93.86</v>
      </c>
      <c r="H11" s="3043">
        <v>4</v>
      </c>
      <c r="J11" s="2996" t="s">
        <v>3461</v>
      </c>
      <c r="K11" s="3044">
        <f>K9+K10</f>
        <v>38206.339999999997</v>
      </c>
      <c r="M11">
        <f>ROUND(K11/M7*N7,2)</f>
        <v>13491.73</v>
      </c>
    </row>
    <row r="12" spans="1:14">
      <c r="A12" s="2975">
        <v>6</v>
      </c>
      <c r="B12" s="3038" t="s">
        <v>3172</v>
      </c>
      <c r="C12" s="3039" t="str">
        <f t="shared" si="0"/>
        <v>1</v>
      </c>
      <c r="D12" s="3040" t="str">
        <f t="shared" si="1"/>
        <v>1</v>
      </c>
      <c r="E12" s="3040" t="s">
        <v>3462</v>
      </c>
      <c r="F12" s="3038" t="s">
        <v>3173</v>
      </c>
      <c r="G12" s="3040">
        <v>93.5</v>
      </c>
      <c r="H12" s="3043">
        <v>4</v>
      </c>
    </row>
    <row r="13" spans="1:14">
      <c r="A13" s="2975">
        <v>7</v>
      </c>
      <c r="B13" s="3038" t="s">
        <v>3172</v>
      </c>
      <c r="C13" s="3039" t="str">
        <f t="shared" si="0"/>
        <v>1</v>
      </c>
      <c r="D13" s="3040" t="str">
        <f t="shared" si="1"/>
        <v>1</v>
      </c>
      <c r="E13" s="3040" t="s">
        <v>3463</v>
      </c>
      <c r="F13" s="3038" t="s">
        <v>3173</v>
      </c>
      <c r="G13" s="3040">
        <v>93.86</v>
      </c>
      <c r="H13" s="3043">
        <v>5</v>
      </c>
    </row>
    <row r="14" spans="1:14">
      <c r="A14" s="2975">
        <v>8</v>
      </c>
      <c r="B14" s="3038" t="s">
        <v>3172</v>
      </c>
      <c r="C14" s="3039" t="str">
        <f t="shared" si="0"/>
        <v>1</v>
      </c>
      <c r="D14" s="3040" t="str">
        <f t="shared" si="1"/>
        <v>1</v>
      </c>
      <c r="E14" s="3040" t="s">
        <v>3464</v>
      </c>
      <c r="F14" s="3038" t="s">
        <v>3173</v>
      </c>
      <c r="G14" s="3040">
        <v>93.5</v>
      </c>
      <c r="H14" s="3043">
        <v>5</v>
      </c>
    </row>
    <row r="15" spans="1:14">
      <c r="A15" s="2975">
        <v>9</v>
      </c>
      <c r="B15" s="3038" t="s">
        <v>3172</v>
      </c>
      <c r="C15" s="3039" t="str">
        <f t="shared" si="0"/>
        <v>1</v>
      </c>
      <c r="D15" s="3040" t="str">
        <f t="shared" si="1"/>
        <v>1</v>
      </c>
      <c r="E15" s="3040" t="s">
        <v>3465</v>
      </c>
      <c r="F15" s="3038" t="s">
        <v>3173</v>
      </c>
      <c r="G15" s="3040">
        <v>155.78</v>
      </c>
      <c r="H15" s="3043">
        <v>6</v>
      </c>
    </row>
    <row r="16" spans="1:14">
      <c r="A16" s="2975">
        <v>10</v>
      </c>
      <c r="B16" s="3038" t="s">
        <v>3172</v>
      </c>
      <c r="C16" s="3039" t="str">
        <f t="shared" si="0"/>
        <v>1</v>
      </c>
      <c r="D16" s="3040" t="str">
        <f t="shared" si="1"/>
        <v>1</v>
      </c>
      <c r="E16" s="3040" t="s">
        <v>3466</v>
      </c>
      <c r="F16" s="3038" t="s">
        <v>3173</v>
      </c>
      <c r="G16" s="3040">
        <v>117.7</v>
      </c>
      <c r="H16" s="3043">
        <v>6</v>
      </c>
    </row>
    <row r="17" spans="1:8">
      <c r="A17" s="2975">
        <v>11</v>
      </c>
      <c r="B17" s="3038" t="s">
        <v>3172</v>
      </c>
      <c r="C17" s="3039" t="str">
        <f t="shared" si="0"/>
        <v>1</v>
      </c>
      <c r="D17" s="3040" t="str">
        <f t="shared" si="1"/>
        <v>2</v>
      </c>
      <c r="E17" s="3040" t="s">
        <v>3467</v>
      </c>
      <c r="F17" s="3038" t="s">
        <v>3173</v>
      </c>
      <c r="G17" s="3040">
        <v>136.6</v>
      </c>
      <c r="H17" s="3043">
        <v>1</v>
      </c>
    </row>
    <row r="18" spans="1:8">
      <c r="A18" s="2975">
        <v>12</v>
      </c>
      <c r="B18" s="3038" t="s">
        <v>3172</v>
      </c>
      <c r="C18" s="3039" t="str">
        <f t="shared" si="0"/>
        <v>1</v>
      </c>
      <c r="D18" s="3040" t="str">
        <f t="shared" si="1"/>
        <v>2</v>
      </c>
      <c r="E18" s="3040" t="s">
        <v>3468</v>
      </c>
      <c r="F18" s="3038" t="s">
        <v>3173</v>
      </c>
      <c r="G18" s="3040">
        <v>136.22</v>
      </c>
      <c r="H18" s="3043">
        <v>1</v>
      </c>
    </row>
    <row r="19" spans="1:8">
      <c r="A19" s="2975">
        <v>13</v>
      </c>
      <c r="B19" s="3038" t="s">
        <v>3172</v>
      </c>
      <c r="C19" s="3039" t="str">
        <f t="shared" si="0"/>
        <v>1</v>
      </c>
      <c r="D19" s="3040" t="str">
        <f t="shared" si="1"/>
        <v>2</v>
      </c>
      <c r="E19" s="3040" t="s">
        <v>3469</v>
      </c>
      <c r="F19" s="3038" t="s">
        <v>3173</v>
      </c>
      <c r="G19" s="3040">
        <v>136.6</v>
      </c>
      <c r="H19" s="3043">
        <v>2</v>
      </c>
    </row>
    <row r="20" spans="1:8">
      <c r="A20" s="2975">
        <v>14</v>
      </c>
      <c r="B20" s="3038" t="s">
        <v>3172</v>
      </c>
      <c r="C20" s="3039" t="str">
        <f t="shared" si="0"/>
        <v>1</v>
      </c>
      <c r="D20" s="3040" t="str">
        <f t="shared" si="1"/>
        <v>2</v>
      </c>
      <c r="E20" s="3040" t="s">
        <v>3470</v>
      </c>
      <c r="F20" s="3038" t="s">
        <v>3173</v>
      </c>
      <c r="G20" s="3040">
        <v>136.22</v>
      </c>
      <c r="H20" s="3043">
        <v>2</v>
      </c>
    </row>
    <row r="21" spans="1:8">
      <c r="A21" s="2975">
        <v>15</v>
      </c>
      <c r="B21" s="3038" t="s">
        <v>3172</v>
      </c>
      <c r="C21" s="3039" t="str">
        <f t="shared" si="0"/>
        <v>1</v>
      </c>
      <c r="D21" s="3040" t="str">
        <f t="shared" si="1"/>
        <v>2</v>
      </c>
      <c r="E21" s="3040" t="s">
        <v>3471</v>
      </c>
      <c r="F21" s="3038" t="s">
        <v>3173</v>
      </c>
      <c r="G21" s="3040">
        <v>136.6</v>
      </c>
      <c r="H21" s="3043">
        <v>3</v>
      </c>
    </row>
    <row r="22" spans="1:8">
      <c r="A22" s="2975">
        <v>16</v>
      </c>
      <c r="B22" s="3038" t="s">
        <v>3172</v>
      </c>
      <c r="C22" s="3039" t="str">
        <f t="shared" si="0"/>
        <v>1</v>
      </c>
      <c r="D22" s="3040" t="str">
        <f t="shared" si="1"/>
        <v>2</v>
      </c>
      <c r="E22" s="3040" t="s">
        <v>3472</v>
      </c>
      <c r="F22" s="3038" t="s">
        <v>3173</v>
      </c>
      <c r="G22" s="3040">
        <v>136.22</v>
      </c>
      <c r="H22" s="3043">
        <v>3</v>
      </c>
    </row>
    <row r="23" spans="1:8">
      <c r="A23" s="2975">
        <v>17</v>
      </c>
      <c r="B23" s="3038" t="s">
        <v>3172</v>
      </c>
      <c r="C23" s="3039" t="str">
        <f t="shared" si="0"/>
        <v>1</v>
      </c>
      <c r="D23" s="3040" t="str">
        <f t="shared" si="1"/>
        <v>2</v>
      </c>
      <c r="E23" s="3040" t="s">
        <v>3473</v>
      </c>
      <c r="F23" s="3038" t="s">
        <v>3173</v>
      </c>
      <c r="G23" s="3040">
        <v>136.6</v>
      </c>
      <c r="H23" s="3043">
        <v>4</v>
      </c>
    </row>
    <row r="24" spans="1:8">
      <c r="A24" s="2975">
        <v>18</v>
      </c>
      <c r="B24" s="3038" t="s">
        <v>3172</v>
      </c>
      <c r="C24" s="3039" t="str">
        <f t="shared" si="0"/>
        <v>1</v>
      </c>
      <c r="D24" s="3040" t="str">
        <f t="shared" si="1"/>
        <v>2</v>
      </c>
      <c r="E24" s="3040" t="s">
        <v>3474</v>
      </c>
      <c r="F24" s="3038" t="s">
        <v>3173</v>
      </c>
      <c r="G24" s="3040">
        <v>136.22</v>
      </c>
      <c r="H24" s="3043">
        <v>4</v>
      </c>
    </row>
    <row r="25" spans="1:8">
      <c r="A25" s="2975">
        <v>19</v>
      </c>
      <c r="B25" s="3038" t="s">
        <v>3172</v>
      </c>
      <c r="C25" s="3039" t="str">
        <f t="shared" si="0"/>
        <v>1</v>
      </c>
      <c r="D25" s="3040" t="str">
        <f t="shared" si="1"/>
        <v>2</v>
      </c>
      <c r="E25" s="3040" t="s">
        <v>3475</v>
      </c>
      <c r="F25" s="3038" t="s">
        <v>3173</v>
      </c>
      <c r="G25" s="3040">
        <v>136.6</v>
      </c>
      <c r="H25" s="3043">
        <v>5</v>
      </c>
    </row>
    <row r="26" spans="1:8">
      <c r="A26" s="2975">
        <v>20</v>
      </c>
      <c r="B26" s="2957" t="s">
        <v>3172</v>
      </c>
      <c r="C26" s="2958" t="str">
        <f t="shared" si="0"/>
        <v>1</v>
      </c>
      <c r="D26" s="2959" t="str">
        <f t="shared" si="1"/>
        <v>2</v>
      </c>
      <c r="E26" s="2959" t="s">
        <v>3476</v>
      </c>
      <c r="F26" s="2957" t="s">
        <v>3173</v>
      </c>
      <c r="G26" s="2959">
        <v>229.01</v>
      </c>
      <c r="H26" s="3043">
        <v>6</v>
      </c>
    </row>
    <row r="27" spans="1:8">
      <c r="A27" s="2975">
        <v>21</v>
      </c>
      <c r="B27" s="3038" t="s">
        <v>3172</v>
      </c>
      <c r="C27" s="3039" t="str">
        <f t="shared" si="0"/>
        <v>1</v>
      </c>
      <c r="D27" s="3040" t="str">
        <f t="shared" si="1"/>
        <v>2</v>
      </c>
      <c r="E27" s="3040" t="s">
        <v>3477</v>
      </c>
      <c r="F27" s="3038" t="s">
        <v>3173</v>
      </c>
      <c r="G27" s="3040">
        <v>214.95</v>
      </c>
      <c r="H27" s="3043">
        <v>6</v>
      </c>
    </row>
    <row r="28" spans="1:8">
      <c r="A28" s="2975">
        <v>22</v>
      </c>
      <c r="B28" s="3038" t="s">
        <v>3172</v>
      </c>
      <c r="C28" s="3039" t="str">
        <f t="shared" si="0"/>
        <v>1</v>
      </c>
      <c r="D28" s="3040" t="str">
        <f t="shared" si="1"/>
        <v>3</v>
      </c>
      <c r="E28" s="3040" t="s">
        <v>3478</v>
      </c>
      <c r="F28" s="3038" t="s">
        <v>3173</v>
      </c>
      <c r="G28" s="3040">
        <v>136.22</v>
      </c>
      <c r="H28" s="3043">
        <v>1</v>
      </c>
    </row>
    <row r="29" spans="1:8">
      <c r="A29" s="2975">
        <v>23</v>
      </c>
      <c r="B29" s="3038" t="s">
        <v>3172</v>
      </c>
      <c r="C29" s="3039" t="str">
        <f t="shared" si="0"/>
        <v>1</v>
      </c>
      <c r="D29" s="3040" t="str">
        <f t="shared" si="1"/>
        <v>3</v>
      </c>
      <c r="E29" s="3040" t="s">
        <v>3479</v>
      </c>
      <c r="F29" s="3038" t="s">
        <v>3173</v>
      </c>
      <c r="G29" s="3040">
        <v>136.6</v>
      </c>
      <c r="H29" s="3043">
        <v>1</v>
      </c>
    </row>
    <row r="30" spans="1:8">
      <c r="A30" s="2975">
        <v>24</v>
      </c>
      <c r="B30" s="3038" t="s">
        <v>3172</v>
      </c>
      <c r="C30" s="3039" t="str">
        <f t="shared" si="0"/>
        <v>1</v>
      </c>
      <c r="D30" s="3040" t="str">
        <f t="shared" si="1"/>
        <v>3</v>
      </c>
      <c r="E30" s="3040" t="s">
        <v>3480</v>
      </c>
      <c r="F30" s="3038" t="s">
        <v>3173</v>
      </c>
      <c r="G30" s="3040">
        <v>136.22</v>
      </c>
      <c r="H30" s="3043">
        <v>2</v>
      </c>
    </row>
    <row r="31" spans="1:8">
      <c r="A31" s="2975">
        <v>25</v>
      </c>
      <c r="B31" s="3038" t="s">
        <v>3172</v>
      </c>
      <c r="C31" s="3039" t="str">
        <f t="shared" si="0"/>
        <v>1</v>
      </c>
      <c r="D31" s="3040" t="str">
        <f t="shared" si="1"/>
        <v>3</v>
      </c>
      <c r="E31" s="3040" t="s">
        <v>3481</v>
      </c>
      <c r="F31" s="3038" t="s">
        <v>3173</v>
      </c>
      <c r="G31" s="3040">
        <v>136.6</v>
      </c>
      <c r="H31" s="3043">
        <v>2</v>
      </c>
    </row>
    <row r="32" spans="1:8">
      <c r="A32" s="2975">
        <v>26</v>
      </c>
      <c r="B32" s="3038" t="s">
        <v>3172</v>
      </c>
      <c r="C32" s="3039" t="str">
        <f t="shared" si="0"/>
        <v>1</v>
      </c>
      <c r="D32" s="3040" t="str">
        <f t="shared" si="1"/>
        <v>3</v>
      </c>
      <c r="E32" s="3040" t="s">
        <v>3482</v>
      </c>
      <c r="F32" s="3038" t="s">
        <v>3173</v>
      </c>
      <c r="G32" s="3040">
        <v>136.22</v>
      </c>
      <c r="H32" s="3043">
        <v>3</v>
      </c>
    </row>
    <row r="33" spans="1:8">
      <c r="A33" s="2975">
        <v>27</v>
      </c>
      <c r="B33" s="3038" t="s">
        <v>3172</v>
      </c>
      <c r="C33" s="3039" t="str">
        <f t="shared" si="0"/>
        <v>1</v>
      </c>
      <c r="D33" s="3040" t="str">
        <f t="shared" si="1"/>
        <v>3</v>
      </c>
      <c r="E33" s="3040" t="s">
        <v>3483</v>
      </c>
      <c r="F33" s="3038" t="s">
        <v>3173</v>
      </c>
      <c r="G33" s="3040">
        <v>136.6</v>
      </c>
      <c r="H33" s="3043">
        <v>3</v>
      </c>
    </row>
    <row r="34" spans="1:8">
      <c r="A34" s="2975">
        <v>28</v>
      </c>
      <c r="B34" s="3038" t="s">
        <v>3172</v>
      </c>
      <c r="C34" s="3039" t="str">
        <f t="shared" si="0"/>
        <v>1</v>
      </c>
      <c r="D34" s="3040" t="str">
        <f t="shared" si="1"/>
        <v>3</v>
      </c>
      <c r="E34" s="3040" t="s">
        <v>3484</v>
      </c>
      <c r="F34" s="3038" t="s">
        <v>3173</v>
      </c>
      <c r="G34" s="3040">
        <v>136.22</v>
      </c>
      <c r="H34" s="3043">
        <v>4</v>
      </c>
    </row>
    <row r="35" spans="1:8">
      <c r="A35" s="2975">
        <v>29</v>
      </c>
      <c r="B35" s="3038" t="s">
        <v>3172</v>
      </c>
      <c r="C35" s="3039" t="str">
        <f t="shared" si="0"/>
        <v>1</v>
      </c>
      <c r="D35" s="3040" t="str">
        <f t="shared" si="1"/>
        <v>3</v>
      </c>
      <c r="E35" s="3040" t="s">
        <v>3485</v>
      </c>
      <c r="F35" s="3038" t="s">
        <v>3173</v>
      </c>
      <c r="G35" s="3040">
        <v>136.6</v>
      </c>
      <c r="H35" s="3043">
        <v>4</v>
      </c>
    </row>
    <row r="36" spans="1:8">
      <c r="A36" s="2975">
        <v>30</v>
      </c>
      <c r="B36" s="3038" t="s">
        <v>3172</v>
      </c>
      <c r="C36" s="3039" t="str">
        <f t="shared" si="0"/>
        <v>1</v>
      </c>
      <c r="D36" s="3040" t="str">
        <f t="shared" si="1"/>
        <v>3</v>
      </c>
      <c r="E36" s="3040" t="s">
        <v>3486</v>
      </c>
      <c r="F36" s="3038" t="s">
        <v>3173</v>
      </c>
      <c r="G36" s="3040">
        <v>136.22</v>
      </c>
      <c r="H36" s="3043">
        <v>5</v>
      </c>
    </row>
    <row r="37" spans="1:8">
      <c r="A37" s="2975">
        <v>31</v>
      </c>
      <c r="B37" s="3038" t="s">
        <v>3172</v>
      </c>
      <c r="C37" s="3039" t="str">
        <f t="shared" si="0"/>
        <v>1</v>
      </c>
      <c r="D37" s="3040" t="str">
        <f t="shared" si="1"/>
        <v>3</v>
      </c>
      <c r="E37" s="3040" t="s">
        <v>3487</v>
      </c>
      <c r="F37" s="3038" t="s">
        <v>3173</v>
      </c>
      <c r="G37" s="3040">
        <v>214.95</v>
      </c>
      <c r="H37" s="3043">
        <v>6</v>
      </c>
    </row>
    <row r="38" spans="1:8">
      <c r="A38" s="2975">
        <v>32</v>
      </c>
      <c r="B38" s="3038" t="s">
        <v>3172</v>
      </c>
      <c r="C38" s="3039" t="str">
        <f t="shared" si="0"/>
        <v>1</v>
      </c>
      <c r="D38" s="3040" t="str">
        <f t="shared" si="1"/>
        <v>3</v>
      </c>
      <c r="E38" s="3040" t="s">
        <v>3488</v>
      </c>
      <c r="F38" s="3038" t="s">
        <v>3173</v>
      </c>
      <c r="G38" s="3040">
        <v>216.74</v>
      </c>
      <c r="H38" s="3043">
        <v>6</v>
      </c>
    </row>
    <row r="39" spans="1:8">
      <c r="A39" s="2975">
        <v>33</v>
      </c>
      <c r="B39" s="3038" t="s">
        <v>3172</v>
      </c>
      <c r="C39" s="3039" t="str">
        <f t="shared" si="0"/>
        <v>1</v>
      </c>
      <c r="D39" s="3040" t="str">
        <f t="shared" si="1"/>
        <v>4</v>
      </c>
      <c r="E39" s="3040" t="s">
        <v>3489</v>
      </c>
      <c r="F39" s="3038" t="s">
        <v>3173</v>
      </c>
      <c r="G39" s="3040">
        <v>93.5</v>
      </c>
      <c r="H39" s="3043">
        <v>1</v>
      </c>
    </row>
    <row r="40" spans="1:8">
      <c r="A40" s="2975">
        <v>34</v>
      </c>
      <c r="B40" s="3038" t="s">
        <v>3172</v>
      </c>
      <c r="C40" s="3039" t="str">
        <f t="shared" si="0"/>
        <v>1</v>
      </c>
      <c r="D40" s="3040" t="str">
        <f t="shared" si="1"/>
        <v>4</v>
      </c>
      <c r="E40" s="3040" t="s">
        <v>3490</v>
      </c>
      <c r="F40" s="3038" t="s">
        <v>3173</v>
      </c>
      <c r="G40" s="3040">
        <v>93.86</v>
      </c>
      <c r="H40" s="3043">
        <v>1</v>
      </c>
    </row>
    <row r="41" spans="1:8">
      <c r="A41" s="2975">
        <v>35</v>
      </c>
      <c r="B41" s="3038" t="s">
        <v>3172</v>
      </c>
      <c r="C41" s="3039" t="str">
        <f t="shared" si="0"/>
        <v>1</v>
      </c>
      <c r="D41" s="3040" t="str">
        <f t="shared" si="1"/>
        <v>4</v>
      </c>
      <c r="E41" s="3040" t="s">
        <v>3491</v>
      </c>
      <c r="F41" s="3038" t="s">
        <v>3173</v>
      </c>
      <c r="G41" s="3040">
        <v>93.5</v>
      </c>
      <c r="H41" s="3043">
        <v>2</v>
      </c>
    </row>
    <row r="42" spans="1:8">
      <c r="A42" s="2975">
        <v>36</v>
      </c>
      <c r="B42" s="3038" t="s">
        <v>3172</v>
      </c>
      <c r="C42" s="3039" t="str">
        <f t="shared" si="0"/>
        <v>1</v>
      </c>
      <c r="D42" s="3040" t="str">
        <f t="shared" si="1"/>
        <v>4</v>
      </c>
      <c r="E42" s="3040" t="s">
        <v>3492</v>
      </c>
      <c r="F42" s="3038" t="s">
        <v>3173</v>
      </c>
      <c r="G42" s="3040">
        <v>93.86</v>
      </c>
      <c r="H42" s="3043">
        <v>2</v>
      </c>
    </row>
    <row r="43" spans="1:8">
      <c r="A43" s="2975">
        <v>37</v>
      </c>
      <c r="B43" s="3038" t="s">
        <v>3172</v>
      </c>
      <c r="C43" s="3039" t="str">
        <f t="shared" si="0"/>
        <v>1</v>
      </c>
      <c r="D43" s="3040" t="str">
        <f t="shared" si="1"/>
        <v>4</v>
      </c>
      <c r="E43" s="3040" t="s">
        <v>3493</v>
      </c>
      <c r="F43" s="3038" t="s">
        <v>3173</v>
      </c>
      <c r="G43" s="3040">
        <v>93.86</v>
      </c>
      <c r="H43" s="3043">
        <v>3</v>
      </c>
    </row>
    <row r="44" spans="1:8">
      <c r="A44" s="2975">
        <v>38</v>
      </c>
      <c r="B44" s="3038" t="s">
        <v>3172</v>
      </c>
      <c r="C44" s="3039" t="str">
        <f t="shared" si="0"/>
        <v>1</v>
      </c>
      <c r="D44" s="3040" t="str">
        <f t="shared" si="1"/>
        <v>4</v>
      </c>
      <c r="E44" s="3040" t="s">
        <v>3494</v>
      </c>
      <c r="F44" s="3038" t="s">
        <v>3173</v>
      </c>
      <c r="G44" s="3040">
        <v>93.5</v>
      </c>
      <c r="H44" s="3043">
        <v>4</v>
      </c>
    </row>
    <row r="45" spans="1:8">
      <c r="A45" s="2975">
        <v>39</v>
      </c>
      <c r="B45" s="3038" t="s">
        <v>3172</v>
      </c>
      <c r="C45" s="3039" t="str">
        <f t="shared" si="0"/>
        <v>1</v>
      </c>
      <c r="D45" s="3040" t="str">
        <f t="shared" si="1"/>
        <v>4</v>
      </c>
      <c r="E45" s="3040" t="s">
        <v>3495</v>
      </c>
      <c r="F45" s="3038" t="s">
        <v>3173</v>
      </c>
      <c r="G45" s="3040">
        <v>93.86</v>
      </c>
      <c r="H45" s="3043">
        <v>4</v>
      </c>
    </row>
    <row r="46" spans="1:8">
      <c r="A46" s="2975">
        <v>40</v>
      </c>
      <c r="B46" s="3038" t="s">
        <v>3172</v>
      </c>
      <c r="C46" s="3039" t="str">
        <f t="shared" si="0"/>
        <v>1</v>
      </c>
      <c r="D46" s="3040" t="str">
        <f t="shared" si="1"/>
        <v>4</v>
      </c>
      <c r="E46" s="3040" t="s">
        <v>3496</v>
      </c>
      <c r="F46" s="3038" t="s">
        <v>3173</v>
      </c>
      <c r="G46" s="3040">
        <v>93.5</v>
      </c>
      <c r="H46" s="3043">
        <v>5</v>
      </c>
    </row>
    <row r="47" spans="1:8">
      <c r="A47" s="2975">
        <v>41</v>
      </c>
      <c r="B47" s="3038" t="s">
        <v>3172</v>
      </c>
      <c r="C47" s="3039" t="str">
        <f t="shared" si="0"/>
        <v>1</v>
      </c>
      <c r="D47" s="3040" t="str">
        <f t="shared" si="1"/>
        <v>4</v>
      </c>
      <c r="E47" s="3040" t="s">
        <v>3497</v>
      </c>
      <c r="F47" s="3038" t="s">
        <v>3173</v>
      </c>
      <c r="G47" s="3040">
        <v>93.86</v>
      </c>
      <c r="H47" s="3043">
        <v>5</v>
      </c>
    </row>
    <row r="48" spans="1:8">
      <c r="A48" s="2975">
        <v>42</v>
      </c>
      <c r="B48" s="3038" t="s">
        <v>3172</v>
      </c>
      <c r="C48" s="3039" t="str">
        <f t="shared" si="0"/>
        <v>1</v>
      </c>
      <c r="D48" s="3040" t="str">
        <f t="shared" si="1"/>
        <v>4</v>
      </c>
      <c r="E48" s="3040" t="s">
        <v>3498</v>
      </c>
      <c r="F48" s="3038" t="s">
        <v>3173</v>
      </c>
      <c r="G48" s="3040">
        <v>117.7</v>
      </c>
      <c r="H48" s="3043">
        <v>6</v>
      </c>
    </row>
    <row r="49" spans="1:8">
      <c r="A49" s="2975">
        <v>43</v>
      </c>
      <c r="B49" s="3038" t="s">
        <v>3172</v>
      </c>
      <c r="C49" s="3039" t="str">
        <f t="shared" si="0"/>
        <v>1</v>
      </c>
      <c r="D49" s="3040" t="str">
        <f t="shared" si="1"/>
        <v>4</v>
      </c>
      <c r="E49" s="3040" t="s">
        <v>3499</v>
      </c>
      <c r="F49" s="3038" t="s">
        <v>3173</v>
      </c>
      <c r="G49" s="3040">
        <v>155.78</v>
      </c>
      <c r="H49" s="3043">
        <v>6</v>
      </c>
    </row>
    <row r="50" spans="1:8">
      <c r="A50" s="2975">
        <v>44</v>
      </c>
      <c r="B50" s="3038" t="s">
        <v>3172</v>
      </c>
      <c r="C50" s="3039" t="str">
        <f t="shared" ref="C50:C113" si="2">MID(E50,1,2)</f>
        <v>10</v>
      </c>
      <c r="D50" s="3040" t="str">
        <f t="shared" ref="D50:D113" si="3">MID(E50,4,1)</f>
        <v>1</v>
      </c>
      <c r="E50" s="3040" t="s">
        <v>3500</v>
      </c>
      <c r="F50" s="3038" t="s">
        <v>3173</v>
      </c>
      <c r="G50" s="3040">
        <v>142.71</v>
      </c>
      <c r="H50" s="3043">
        <v>1</v>
      </c>
    </row>
    <row r="51" spans="1:8">
      <c r="A51" s="2975">
        <v>45</v>
      </c>
      <c r="B51" s="3038" t="s">
        <v>3172</v>
      </c>
      <c r="C51" s="3039" t="str">
        <f t="shared" si="2"/>
        <v>10</v>
      </c>
      <c r="D51" s="3040" t="str">
        <f t="shared" si="3"/>
        <v>1</v>
      </c>
      <c r="E51" s="3040" t="s">
        <v>3501</v>
      </c>
      <c r="F51" s="3038" t="s">
        <v>3173</v>
      </c>
      <c r="G51" s="3040">
        <v>143.03</v>
      </c>
      <c r="H51" s="3043">
        <v>1</v>
      </c>
    </row>
    <row r="52" spans="1:8">
      <c r="A52" s="2975">
        <v>46</v>
      </c>
      <c r="B52" s="3038" t="s">
        <v>3172</v>
      </c>
      <c r="C52" s="3039" t="str">
        <f t="shared" si="2"/>
        <v>10</v>
      </c>
      <c r="D52" s="3040" t="str">
        <f t="shared" si="3"/>
        <v>1</v>
      </c>
      <c r="E52" s="3040" t="s">
        <v>3502</v>
      </c>
      <c r="F52" s="3038" t="s">
        <v>3173</v>
      </c>
      <c r="G52" s="3040">
        <v>142.71</v>
      </c>
      <c r="H52" s="3043">
        <v>2</v>
      </c>
    </row>
    <row r="53" spans="1:8">
      <c r="A53" s="2975">
        <v>47</v>
      </c>
      <c r="B53" s="3038" t="s">
        <v>3172</v>
      </c>
      <c r="C53" s="3039" t="str">
        <f t="shared" si="2"/>
        <v>10</v>
      </c>
      <c r="D53" s="3040" t="str">
        <f t="shared" si="3"/>
        <v>1</v>
      </c>
      <c r="E53" s="3040" t="s">
        <v>3503</v>
      </c>
      <c r="F53" s="3038" t="s">
        <v>3173</v>
      </c>
      <c r="G53" s="3040">
        <v>142.71</v>
      </c>
      <c r="H53" s="3043">
        <v>3</v>
      </c>
    </row>
    <row r="54" spans="1:8">
      <c r="A54" s="2975">
        <v>48</v>
      </c>
      <c r="B54" s="3038" t="s">
        <v>3172</v>
      </c>
      <c r="C54" s="3039" t="str">
        <f t="shared" si="2"/>
        <v>10</v>
      </c>
      <c r="D54" s="3040" t="str">
        <f t="shared" si="3"/>
        <v>1</v>
      </c>
      <c r="E54" s="3040" t="s">
        <v>3504</v>
      </c>
      <c r="F54" s="3038" t="s">
        <v>3173</v>
      </c>
      <c r="G54" s="3040">
        <v>142.71</v>
      </c>
      <c r="H54" s="3043">
        <v>4</v>
      </c>
    </row>
    <row r="55" spans="1:8">
      <c r="A55" s="2975">
        <v>49</v>
      </c>
      <c r="B55" s="3038" t="s">
        <v>3172</v>
      </c>
      <c r="C55" s="3039" t="str">
        <f t="shared" si="2"/>
        <v>10</v>
      </c>
      <c r="D55" s="3040" t="str">
        <f t="shared" si="3"/>
        <v>1</v>
      </c>
      <c r="E55" s="3040" t="s">
        <v>3505</v>
      </c>
      <c r="F55" s="3038" t="s">
        <v>3173</v>
      </c>
      <c r="G55" s="3040">
        <v>236.05</v>
      </c>
      <c r="H55" s="3043">
        <v>5</v>
      </c>
    </row>
    <row r="56" spans="1:8">
      <c r="A56" s="2975">
        <v>50</v>
      </c>
      <c r="B56" s="3038" t="s">
        <v>3172</v>
      </c>
      <c r="C56" s="3039" t="str">
        <f t="shared" si="2"/>
        <v>10</v>
      </c>
      <c r="D56" s="3040" t="str">
        <f t="shared" si="3"/>
        <v>1</v>
      </c>
      <c r="E56" s="3040" t="s">
        <v>3506</v>
      </c>
      <c r="F56" s="3038" t="s">
        <v>3173</v>
      </c>
      <c r="G56" s="3040">
        <v>198.5</v>
      </c>
      <c r="H56" s="3043">
        <v>5</v>
      </c>
    </row>
    <row r="57" spans="1:8">
      <c r="A57" s="2975">
        <v>51</v>
      </c>
      <c r="B57" s="3038" t="s">
        <v>3172</v>
      </c>
      <c r="C57" s="3039" t="str">
        <f t="shared" si="2"/>
        <v>10</v>
      </c>
      <c r="D57" s="3040" t="str">
        <f t="shared" si="3"/>
        <v>2</v>
      </c>
      <c r="E57" s="3040" t="s">
        <v>3507</v>
      </c>
      <c r="F57" s="3038" t="s">
        <v>3173</v>
      </c>
      <c r="G57" s="3040">
        <v>143.03</v>
      </c>
      <c r="H57" s="3043">
        <v>1</v>
      </c>
    </row>
    <row r="58" spans="1:8">
      <c r="A58" s="2975">
        <v>52</v>
      </c>
      <c r="B58" s="3038" t="s">
        <v>3172</v>
      </c>
      <c r="C58" s="3039" t="str">
        <f t="shared" si="2"/>
        <v>10</v>
      </c>
      <c r="D58" s="3040" t="str">
        <f t="shared" si="3"/>
        <v>2</v>
      </c>
      <c r="E58" s="3040" t="s">
        <v>3508</v>
      </c>
      <c r="F58" s="3038" t="s">
        <v>3173</v>
      </c>
      <c r="G58" s="3040">
        <v>142.71</v>
      </c>
      <c r="H58" s="3043">
        <v>1</v>
      </c>
    </row>
    <row r="59" spans="1:8">
      <c r="A59" s="2975">
        <v>53</v>
      </c>
      <c r="B59" s="3038" t="s">
        <v>3172</v>
      </c>
      <c r="C59" s="3039" t="str">
        <f t="shared" si="2"/>
        <v>10</v>
      </c>
      <c r="D59" s="3040" t="str">
        <f t="shared" si="3"/>
        <v>2</v>
      </c>
      <c r="E59" s="3040" t="s">
        <v>3509</v>
      </c>
      <c r="F59" s="3038" t="s">
        <v>3173</v>
      </c>
      <c r="G59" s="3040">
        <v>143.03</v>
      </c>
      <c r="H59" s="3043">
        <v>2</v>
      </c>
    </row>
    <row r="60" spans="1:8">
      <c r="A60" s="2975">
        <v>54</v>
      </c>
      <c r="B60" s="3038" t="s">
        <v>3172</v>
      </c>
      <c r="C60" s="3039" t="str">
        <f t="shared" si="2"/>
        <v>10</v>
      </c>
      <c r="D60" s="3040" t="str">
        <f t="shared" si="3"/>
        <v>2</v>
      </c>
      <c r="E60" s="3040" t="s">
        <v>3510</v>
      </c>
      <c r="F60" s="3038" t="s">
        <v>3173</v>
      </c>
      <c r="G60" s="3040">
        <v>142.71</v>
      </c>
      <c r="H60" s="3043">
        <v>2</v>
      </c>
    </row>
    <row r="61" spans="1:8">
      <c r="A61" s="2975">
        <v>55</v>
      </c>
      <c r="B61" s="3038" t="s">
        <v>3172</v>
      </c>
      <c r="C61" s="3039" t="str">
        <f t="shared" si="2"/>
        <v>10</v>
      </c>
      <c r="D61" s="3040" t="str">
        <f t="shared" si="3"/>
        <v>2</v>
      </c>
      <c r="E61" s="3040" t="s">
        <v>3511</v>
      </c>
      <c r="F61" s="3038" t="s">
        <v>3173</v>
      </c>
      <c r="G61" s="3040">
        <v>143.03</v>
      </c>
      <c r="H61" s="3043">
        <v>3</v>
      </c>
    </row>
    <row r="62" spans="1:8">
      <c r="A62" s="2975">
        <v>56</v>
      </c>
      <c r="B62" s="3038" t="s">
        <v>3172</v>
      </c>
      <c r="C62" s="3039" t="str">
        <f t="shared" si="2"/>
        <v>10</v>
      </c>
      <c r="D62" s="3040" t="str">
        <f t="shared" si="3"/>
        <v>2</v>
      </c>
      <c r="E62" s="3040" t="s">
        <v>3512</v>
      </c>
      <c r="F62" s="3038" t="s">
        <v>3173</v>
      </c>
      <c r="G62" s="3040">
        <v>142.71</v>
      </c>
      <c r="H62" s="3043">
        <v>4</v>
      </c>
    </row>
    <row r="63" spans="1:8">
      <c r="A63" s="2975">
        <v>57</v>
      </c>
      <c r="B63" s="3038" t="s">
        <v>3172</v>
      </c>
      <c r="C63" s="3039" t="str">
        <f t="shared" si="2"/>
        <v>10</v>
      </c>
      <c r="D63" s="3040" t="str">
        <f t="shared" si="3"/>
        <v>2</v>
      </c>
      <c r="E63" s="3040" t="s">
        <v>3513</v>
      </c>
      <c r="F63" s="3038" t="s">
        <v>3173</v>
      </c>
      <c r="G63" s="3040">
        <v>198.5</v>
      </c>
      <c r="H63" s="3043">
        <v>5</v>
      </c>
    </row>
    <row r="64" spans="1:8">
      <c r="A64" s="2975">
        <v>58</v>
      </c>
      <c r="B64" s="3038" t="s">
        <v>3172</v>
      </c>
      <c r="C64" s="3039" t="str">
        <f t="shared" si="2"/>
        <v>10</v>
      </c>
      <c r="D64" s="3040" t="str">
        <f t="shared" si="3"/>
        <v>2</v>
      </c>
      <c r="E64" s="3040" t="s">
        <v>3514</v>
      </c>
      <c r="F64" s="3038" t="s">
        <v>3173</v>
      </c>
      <c r="G64" s="3040">
        <v>226.28</v>
      </c>
      <c r="H64" s="3043">
        <v>5</v>
      </c>
    </row>
    <row r="65" spans="1:10">
      <c r="A65" s="2975">
        <v>59</v>
      </c>
      <c r="B65" s="3038" t="s">
        <v>3172</v>
      </c>
      <c r="C65" s="3039" t="str">
        <f t="shared" si="2"/>
        <v>11</v>
      </c>
      <c r="D65" s="3040" t="str">
        <f t="shared" si="3"/>
        <v>1</v>
      </c>
      <c r="E65" s="3040" t="s">
        <v>3515</v>
      </c>
      <c r="F65" s="3038" t="s">
        <v>3173</v>
      </c>
      <c r="G65" s="3040">
        <v>167.17</v>
      </c>
      <c r="H65" s="3043">
        <v>1</v>
      </c>
    </row>
    <row r="66" spans="1:10">
      <c r="A66" s="2975">
        <v>60</v>
      </c>
      <c r="B66" s="3038" t="s">
        <v>3172</v>
      </c>
      <c r="C66" s="3039" t="str">
        <f t="shared" si="2"/>
        <v>11</v>
      </c>
      <c r="D66" s="3040" t="str">
        <f t="shared" si="3"/>
        <v>1</v>
      </c>
      <c r="E66" s="3040" t="s">
        <v>3516</v>
      </c>
      <c r="F66" s="3038" t="s">
        <v>3173</v>
      </c>
      <c r="G66" s="3040">
        <v>141.63999999999999</v>
      </c>
      <c r="H66" s="3043">
        <v>1</v>
      </c>
    </row>
    <row r="67" spans="1:10">
      <c r="A67" s="2975">
        <v>61</v>
      </c>
      <c r="B67" s="3038" t="s">
        <v>3172</v>
      </c>
      <c r="C67" s="3039" t="str">
        <f t="shared" si="2"/>
        <v>11</v>
      </c>
      <c r="D67" s="3040" t="str">
        <f t="shared" si="3"/>
        <v>1</v>
      </c>
      <c r="E67" s="3040" t="s">
        <v>3517</v>
      </c>
      <c r="F67" s="3038" t="s">
        <v>3173</v>
      </c>
      <c r="G67" s="3040">
        <v>167.17</v>
      </c>
      <c r="H67" s="3043">
        <v>2</v>
      </c>
    </row>
    <row r="68" spans="1:10">
      <c r="A68" s="2975">
        <v>62</v>
      </c>
      <c r="B68" s="3038" t="s">
        <v>3172</v>
      </c>
      <c r="C68" s="3039" t="str">
        <f t="shared" si="2"/>
        <v>11</v>
      </c>
      <c r="D68" s="3040" t="str">
        <f t="shared" si="3"/>
        <v>1</v>
      </c>
      <c r="E68" s="3040" t="s">
        <v>3518</v>
      </c>
      <c r="F68" s="3038" t="s">
        <v>3173</v>
      </c>
      <c r="G68" s="3040">
        <v>167.17</v>
      </c>
      <c r="H68" s="3043">
        <v>3</v>
      </c>
    </row>
    <row r="69" spans="1:10">
      <c r="A69" s="2975">
        <v>63</v>
      </c>
      <c r="B69" s="3038" t="s">
        <v>3172</v>
      </c>
      <c r="C69" s="3039" t="str">
        <f t="shared" si="2"/>
        <v>11</v>
      </c>
      <c r="D69" s="3040" t="str">
        <f t="shared" si="3"/>
        <v>1</v>
      </c>
      <c r="E69" s="3040" t="s">
        <v>3519</v>
      </c>
      <c r="F69" s="3038" t="s">
        <v>3173</v>
      </c>
      <c r="G69" s="3040">
        <v>259.24</v>
      </c>
      <c r="H69" s="3043">
        <v>5</v>
      </c>
    </row>
    <row r="70" spans="1:10">
      <c r="A70" s="2975">
        <v>64</v>
      </c>
      <c r="B70" s="3038" t="s">
        <v>3172</v>
      </c>
      <c r="C70" s="3039" t="str">
        <f t="shared" si="2"/>
        <v>11</v>
      </c>
      <c r="D70" s="3040" t="str">
        <f t="shared" si="3"/>
        <v>1</v>
      </c>
      <c r="E70" s="3040" t="s">
        <v>3520</v>
      </c>
      <c r="F70" s="3038" t="s">
        <v>3173</v>
      </c>
      <c r="G70" s="3040">
        <v>200.49</v>
      </c>
      <c r="H70" s="3043">
        <v>5</v>
      </c>
    </row>
    <row r="71" spans="1:10">
      <c r="A71" s="2975">
        <v>65</v>
      </c>
      <c r="B71" s="3038" t="s">
        <v>3172</v>
      </c>
      <c r="C71" s="3039" t="str">
        <f t="shared" si="2"/>
        <v>11</v>
      </c>
      <c r="D71" s="3040" t="str">
        <f t="shared" si="3"/>
        <v>2</v>
      </c>
      <c r="E71" s="3040" t="s">
        <v>3521</v>
      </c>
      <c r="F71" s="3038" t="s">
        <v>3173</v>
      </c>
      <c r="G71" s="3040">
        <v>141.63999999999999</v>
      </c>
      <c r="H71" s="3043">
        <v>1</v>
      </c>
    </row>
    <row r="72" spans="1:10">
      <c r="A72" s="2975">
        <v>66</v>
      </c>
      <c r="B72" s="3038" t="s">
        <v>3172</v>
      </c>
      <c r="C72" s="3039" t="str">
        <f t="shared" si="2"/>
        <v>11</v>
      </c>
      <c r="D72" s="3040" t="str">
        <f t="shared" si="3"/>
        <v>2</v>
      </c>
      <c r="E72" s="3040" t="s">
        <v>3522</v>
      </c>
      <c r="F72" s="3038" t="s">
        <v>3173</v>
      </c>
      <c r="G72" s="3040">
        <v>167.17</v>
      </c>
      <c r="H72" s="3043">
        <v>1</v>
      </c>
    </row>
    <row r="73" spans="1:10">
      <c r="A73" s="2975">
        <v>67</v>
      </c>
      <c r="B73" s="3038" t="s">
        <v>3172</v>
      </c>
      <c r="C73" s="3039" t="str">
        <f t="shared" si="2"/>
        <v>11</v>
      </c>
      <c r="D73" s="3040" t="str">
        <f t="shared" si="3"/>
        <v>2</v>
      </c>
      <c r="E73" s="3040" t="s">
        <v>3523</v>
      </c>
      <c r="F73" s="3038" t="s">
        <v>3173</v>
      </c>
      <c r="G73" s="3040">
        <v>167.17</v>
      </c>
      <c r="H73" s="3043">
        <v>2</v>
      </c>
    </row>
    <row r="74" spans="1:10">
      <c r="A74" s="2975">
        <v>68</v>
      </c>
      <c r="B74" s="3038" t="s">
        <v>3172</v>
      </c>
      <c r="C74" s="3039" t="str">
        <f t="shared" si="2"/>
        <v>11</v>
      </c>
      <c r="D74" s="3040" t="str">
        <f t="shared" si="3"/>
        <v>2</v>
      </c>
      <c r="E74" s="3040" t="s">
        <v>3524</v>
      </c>
      <c r="F74" s="3038" t="s">
        <v>3173</v>
      </c>
      <c r="G74" s="3040">
        <v>141.63999999999999</v>
      </c>
      <c r="H74" s="3043">
        <v>3</v>
      </c>
    </row>
    <row r="75" spans="1:10">
      <c r="A75" s="2975">
        <v>69</v>
      </c>
      <c r="B75" s="3038" t="s">
        <v>3172</v>
      </c>
      <c r="C75" s="3039" t="str">
        <f t="shared" si="2"/>
        <v>11</v>
      </c>
      <c r="D75" s="3040" t="str">
        <f t="shared" si="3"/>
        <v>2</v>
      </c>
      <c r="E75" s="3040" t="s">
        <v>3525</v>
      </c>
      <c r="F75" s="3038" t="s">
        <v>3173</v>
      </c>
      <c r="G75" s="3040">
        <v>141.63999999999999</v>
      </c>
      <c r="H75" s="3043">
        <v>4</v>
      </c>
    </row>
    <row r="76" spans="1:10">
      <c r="A76" s="2975">
        <v>70</v>
      </c>
      <c r="B76" s="3038" t="s">
        <v>3172</v>
      </c>
      <c r="C76" s="3039" t="str">
        <f t="shared" si="2"/>
        <v>11</v>
      </c>
      <c r="D76" s="3040" t="str">
        <f t="shared" si="3"/>
        <v>2</v>
      </c>
      <c r="E76" s="3040" t="s">
        <v>3526</v>
      </c>
      <c r="F76" s="3038" t="s">
        <v>3173</v>
      </c>
      <c r="G76" s="3040">
        <v>167.17</v>
      </c>
      <c r="H76" s="3043">
        <v>4</v>
      </c>
    </row>
    <row r="77" spans="1:10">
      <c r="A77" s="2975">
        <v>71</v>
      </c>
      <c r="B77" s="3038" t="s">
        <v>3172</v>
      </c>
      <c r="C77" s="3039" t="str">
        <f t="shared" si="2"/>
        <v>11</v>
      </c>
      <c r="D77" s="3040" t="str">
        <f t="shared" si="3"/>
        <v>2</v>
      </c>
      <c r="E77" s="3040" t="s">
        <v>3527</v>
      </c>
      <c r="F77" s="3038" t="s">
        <v>3173</v>
      </c>
      <c r="G77" s="3040">
        <v>200.49</v>
      </c>
      <c r="H77" s="3043">
        <v>5</v>
      </c>
    </row>
    <row r="78" spans="1:10">
      <c r="A78" s="2975">
        <v>72</v>
      </c>
      <c r="B78" s="3038" t="s">
        <v>3172</v>
      </c>
      <c r="C78" s="3039" t="str">
        <f t="shared" si="2"/>
        <v>11</v>
      </c>
      <c r="D78" s="3040" t="str">
        <f t="shared" si="3"/>
        <v>2</v>
      </c>
      <c r="E78" s="3040" t="s">
        <v>3528</v>
      </c>
      <c r="F78" s="3038" t="s">
        <v>3173</v>
      </c>
      <c r="G78" s="3040">
        <v>244.88</v>
      </c>
      <c r="H78" s="3043">
        <v>5</v>
      </c>
    </row>
    <row r="79" spans="1:10">
      <c r="A79" s="2975">
        <v>73</v>
      </c>
      <c r="B79" s="3038" t="s">
        <v>3172</v>
      </c>
      <c r="C79" s="3039" t="str">
        <f t="shared" si="2"/>
        <v>12</v>
      </c>
      <c r="D79" s="3040" t="str">
        <f t="shared" si="3"/>
        <v>1</v>
      </c>
      <c r="E79" s="3040" t="s">
        <v>3529</v>
      </c>
      <c r="F79" s="3038" t="s">
        <v>3452</v>
      </c>
      <c r="G79" s="3041">
        <v>114.06</v>
      </c>
      <c r="H79" s="3042">
        <v>1</v>
      </c>
      <c r="J79" s="2996"/>
    </row>
    <row r="80" spans="1:10">
      <c r="A80" s="2975">
        <v>74</v>
      </c>
      <c r="B80" s="3038" t="s">
        <v>3172</v>
      </c>
      <c r="C80" s="3039" t="str">
        <f t="shared" si="2"/>
        <v>12</v>
      </c>
      <c r="D80" s="3040" t="str">
        <f t="shared" si="3"/>
        <v>1</v>
      </c>
      <c r="E80" s="3040" t="s">
        <v>3530</v>
      </c>
      <c r="F80" s="3038" t="s">
        <v>3452</v>
      </c>
      <c r="G80" s="3041">
        <v>134.87</v>
      </c>
      <c r="H80" s="3042">
        <v>1</v>
      </c>
    </row>
    <row r="81" spans="1:8">
      <c r="A81" s="2975">
        <v>75</v>
      </c>
      <c r="B81" s="3038" t="s">
        <v>3172</v>
      </c>
      <c r="C81" s="3039" t="str">
        <f t="shared" si="2"/>
        <v>12</v>
      </c>
      <c r="D81" s="3040" t="str">
        <f t="shared" si="3"/>
        <v>1</v>
      </c>
      <c r="E81" s="3040" t="s">
        <v>3531</v>
      </c>
      <c r="F81" s="3038" t="s">
        <v>3452</v>
      </c>
      <c r="G81" s="3041">
        <v>134.07</v>
      </c>
      <c r="H81" s="3042">
        <v>12</v>
      </c>
    </row>
    <row r="82" spans="1:8">
      <c r="A82" s="2975">
        <v>76</v>
      </c>
      <c r="B82" s="3038" t="s">
        <v>3172</v>
      </c>
      <c r="C82" s="3039" t="str">
        <f t="shared" si="2"/>
        <v>12</v>
      </c>
      <c r="D82" s="3040" t="str">
        <f t="shared" si="3"/>
        <v>1</v>
      </c>
      <c r="E82" s="3040" t="s">
        <v>3532</v>
      </c>
      <c r="F82" s="3038" t="s">
        <v>3452</v>
      </c>
      <c r="G82" s="3041">
        <v>134.07</v>
      </c>
      <c r="H82" s="3042">
        <v>13</v>
      </c>
    </row>
    <row r="83" spans="1:8">
      <c r="A83" s="2975">
        <v>77</v>
      </c>
      <c r="B83" s="3038" t="s">
        <v>3172</v>
      </c>
      <c r="C83" s="3039" t="str">
        <f t="shared" si="2"/>
        <v>12</v>
      </c>
      <c r="D83" s="3040" t="str">
        <f t="shared" si="3"/>
        <v>1</v>
      </c>
      <c r="E83" s="3040" t="s">
        <v>3533</v>
      </c>
      <c r="F83" s="3038" t="s">
        <v>3452</v>
      </c>
      <c r="G83" s="3041">
        <v>208.45</v>
      </c>
      <c r="H83" s="3042">
        <v>14</v>
      </c>
    </row>
    <row r="84" spans="1:8">
      <c r="A84" s="2975">
        <v>78</v>
      </c>
      <c r="B84" s="3038" t="s">
        <v>3172</v>
      </c>
      <c r="C84" s="3039" t="str">
        <f t="shared" si="2"/>
        <v>12</v>
      </c>
      <c r="D84" s="3040" t="str">
        <f t="shared" si="3"/>
        <v>1</v>
      </c>
      <c r="E84" s="3040" t="s">
        <v>3534</v>
      </c>
      <c r="F84" s="3038" t="s">
        <v>3452</v>
      </c>
      <c r="G84" s="3041">
        <v>209.89</v>
      </c>
      <c r="H84" s="3042">
        <v>14</v>
      </c>
    </row>
    <row r="85" spans="1:8">
      <c r="A85" s="2975">
        <v>79</v>
      </c>
      <c r="B85" s="3038" t="s">
        <v>3172</v>
      </c>
      <c r="C85" s="3039" t="str">
        <f t="shared" si="2"/>
        <v>12</v>
      </c>
      <c r="D85" s="3040" t="str">
        <f t="shared" si="3"/>
        <v>1</v>
      </c>
      <c r="E85" s="3040" t="s">
        <v>3535</v>
      </c>
      <c r="F85" s="3038" t="s">
        <v>3452</v>
      </c>
      <c r="G85" s="3041">
        <v>134.07</v>
      </c>
      <c r="H85" s="3042">
        <v>2</v>
      </c>
    </row>
    <row r="86" spans="1:8">
      <c r="A86" s="2975">
        <v>80</v>
      </c>
      <c r="B86" s="3038" t="s">
        <v>3172</v>
      </c>
      <c r="C86" s="3039" t="str">
        <f t="shared" si="2"/>
        <v>12</v>
      </c>
      <c r="D86" s="3040" t="str">
        <f t="shared" si="3"/>
        <v>1</v>
      </c>
      <c r="E86" s="3040" t="s">
        <v>3536</v>
      </c>
      <c r="F86" s="3038" t="s">
        <v>3452</v>
      </c>
      <c r="G86" s="3041">
        <v>134.87</v>
      </c>
      <c r="H86" s="3042">
        <v>2</v>
      </c>
    </row>
    <row r="87" spans="1:8">
      <c r="A87" s="2975">
        <v>81</v>
      </c>
      <c r="B87" s="3038" t="s">
        <v>3172</v>
      </c>
      <c r="C87" s="3039" t="str">
        <f t="shared" si="2"/>
        <v>12</v>
      </c>
      <c r="D87" s="3040" t="str">
        <f t="shared" si="3"/>
        <v>1</v>
      </c>
      <c r="E87" s="3040" t="s">
        <v>3537</v>
      </c>
      <c r="F87" s="3038" t="s">
        <v>3452</v>
      </c>
      <c r="G87" s="3041">
        <v>134.07</v>
      </c>
      <c r="H87" s="3042">
        <v>3</v>
      </c>
    </row>
    <row r="88" spans="1:8">
      <c r="A88" s="2975">
        <v>82</v>
      </c>
      <c r="B88" s="3038" t="s">
        <v>3172</v>
      </c>
      <c r="C88" s="3039" t="str">
        <f t="shared" si="2"/>
        <v>12</v>
      </c>
      <c r="D88" s="3040" t="str">
        <f t="shared" si="3"/>
        <v>1</v>
      </c>
      <c r="E88" s="3040" t="s">
        <v>3538</v>
      </c>
      <c r="F88" s="3038" t="s">
        <v>3452</v>
      </c>
      <c r="G88" s="3041">
        <v>134.07</v>
      </c>
      <c r="H88" s="3042">
        <v>4</v>
      </c>
    </row>
    <row r="89" spans="1:8">
      <c r="A89" s="2975">
        <v>83</v>
      </c>
      <c r="B89" s="3038" t="s">
        <v>3172</v>
      </c>
      <c r="C89" s="3039" t="str">
        <f t="shared" si="2"/>
        <v>12</v>
      </c>
      <c r="D89" s="3040" t="str">
        <f t="shared" si="3"/>
        <v>1</v>
      </c>
      <c r="E89" s="3040" t="s">
        <v>3539</v>
      </c>
      <c r="F89" s="3038" t="s">
        <v>3452</v>
      </c>
      <c r="G89" s="3041">
        <v>134.87</v>
      </c>
      <c r="H89" s="3042">
        <v>4</v>
      </c>
    </row>
    <row r="90" spans="1:8">
      <c r="A90" s="2975">
        <v>84</v>
      </c>
      <c r="B90" s="3038" t="s">
        <v>3172</v>
      </c>
      <c r="C90" s="3039" t="str">
        <f t="shared" si="2"/>
        <v>12</v>
      </c>
      <c r="D90" s="3040" t="str">
        <f t="shared" si="3"/>
        <v>1</v>
      </c>
      <c r="E90" s="3040" t="s">
        <v>3540</v>
      </c>
      <c r="F90" s="3038" t="s">
        <v>3452</v>
      </c>
      <c r="G90" s="3041">
        <v>134.07</v>
      </c>
      <c r="H90" s="3042">
        <v>5</v>
      </c>
    </row>
    <row r="91" spans="1:8">
      <c r="A91" s="2975">
        <v>85</v>
      </c>
      <c r="B91" s="3038" t="s">
        <v>3172</v>
      </c>
      <c r="C91" s="3039" t="str">
        <f t="shared" si="2"/>
        <v>12</v>
      </c>
      <c r="D91" s="3040" t="str">
        <f t="shared" si="3"/>
        <v>1</v>
      </c>
      <c r="E91" s="3040" t="s">
        <v>3541</v>
      </c>
      <c r="F91" s="3038" t="s">
        <v>3452</v>
      </c>
      <c r="G91" s="3041">
        <v>134.07</v>
      </c>
      <c r="H91" s="3042">
        <v>6</v>
      </c>
    </row>
    <row r="92" spans="1:8">
      <c r="A92" s="2975">
        <v>86</v>
      </c>
      <c r="B92" s="3038" t="s">
        <v>3172</v>
      </c>
      <c r="C92" s="3039" t="str">
        <f t="shared" si="2"/>
        <v>12</v>
      </c>
      <c r="D92" s="3040" t="str">
        <f t="shared" si="3"/>
        <v>1</v>
      </c>
      <c r="E92" s="3040" t="s">
        <v>3542</v>
      </c>
      <c r="F92" s="3038" t="s">
        <v>3452</v>
      </c>
      <c r="G92" s="3041">
        <v>134.07</v>
      </c>
      <c r="H92" s="3042">
        <v>7</v>
      </c>
    </row>
    <row r="93" spans="1:8">
      <c r="A93" s="2975">
        <v>87</v>
      </c>
      <c r="B93" s="3038" t="s">
        <v>3172</v>
      </c>
      <c r="C93" s="3039" t="str">
        <f t="shared" si="2"/>
        <v>12</v>
      </c>
      <c r="D93" s="3040" t="str">
        <f t="shared" si="3"/>
        <v>1</v>
      </c>
      <c r="E93" s="3040" t="s">
        <v>3543</v>
      </c>
      <c r="F93" s="3038" t="s">
        <v>3452</v>
      </c>
      <c r="G93" s="3041">
        <v>134.07</v>
      </c>
      <c r="H93" s="3042">
        <v>8</v>
      </c>
    </row>
    <row r="94" spans="1:8">
      <c r="A94" s="2975">
        <v>88</v>
      </c>
      <c r="B94" s="3038" t="s">
        <v>3172</v>
      </c>
      <c r="C94" s="3039" t="str">
        <f t="shared" si="2"/>
        <v>12</v>
      </c>
      <c r="D94" s="3040" t="str">
        <f t="shared" si="3"/>
        <v>1</v>
      </c>
      <c r="E94" s="3040" t="s">
        <v>3544</v>
      </c>
      <c r="F94" s="3038" t="s">
        <v>3452</v>
      </c>
      <c r="G94" s="3041">
        <v>134.87</v>
      </c>
      <c r="H94" s="3042">
        <v>8</v>
      </c>
    </row>
    <row r="95" spans="1:8">
      <c r="A95" s="2975">
        <v>89</v>
      </c>
      <c r="B95" s="3038" t="s">
        <v>3172</v>
      </c>
      <c r="C95" s="3039" t="str">
        <f t="shared" si="2"/>
        <v>12</v>
      </c>
      <c r="D95" s="3040" t="str">
        <f t="shared" si="3"/>
        <v>1</v>
      </c>
      <c r="E95" s="3040" t="s">
        <v>3545</v>
      </c>
      <c r="F95" s="3038" t="s">
        <v>3452</v>
      </c>
      <c r="G95" s="3041">
        <v>134.07</v>
      </c>
      <c r="H95" s="3042">
        <v>9</v>
      </c>
    </row>
    <row r="96" spans="1:8">
      <c r="A96" s="2975">
        <v>90</v>
      </c>
      <c r="B96" s="3038" t="s">
        <v>3172</v>
      </c>
      <c r="C96" s="3039" t="str">
        <f t="shared" si="2"/>
        <v>12</v>
      </c>
      <c r="D96" s="3040" t="str">
        <f t="shared" si="3"/>
        <v>1</v>
      </c>
      <c r="E96" s="3040" t="s">
        <v>3546</v>
      </c>
      <c r="F96" s="3038" t="s">
        <v>3452</v>
      </c>
      <c r="G96" s="3041">
        <v>134.87</v>
      </c>
      <c r="H96" s="3042">
        <v>9</v>
      </c>
    </row>
    <row r="97" spans="1:8">
      <c r="A97" s="2975">
        <v>91</v>
      </c>
      <c r="B97" s="3038" t="s">
        <v>3172</v>
      </c>
      <c r="C97" s="3039" t="str">
        <f t="shared" si="2"/>
        <v>13</v>
      </c>
      <c r="D97" s="3040" t="str">
        <f t="shared" si="3"/>
        <v>1</v>
      </c>
      <c r="E97" s="3040" t="s">
        <v>3547</v>
      </c>
      <c r="F97" s="3038" t="s">
        <v>3452</v>
      </c>
      <c r="G97" s="3041">
        <v>134.18</v>
      </c>
      <c r="H97" s="3042">
        <v>10</v>
      </c>
    </row>
    <row r="98" spans="1:8">
      <c r="A98" s="2975">
        <v>92</v>
      </c>
      <c r="B98" s="3038" t="s">
        <v>3172</v>
      </c>
      <c r="C98" s="3039" t="str">
        <f t="shared" si="2"/>
        <v>13</v>
      </c>
      <c r="D98" s="3040" t="str">
        <f t="shared" si="3"/>
        <v>1</v>
      </c>
      <c r="E98" s="3040" t="s">
        <v>3548</v>
      </c>
      <c r="F98" s="3038" t="s">
        <v>3452</v>
      </c>
      <c r="G98" s="3041">
        <v>134.97999999999999</v>
      </c>
      <c r="H98" s="3042">
        <v>10</v>
      </c>
    </row>
    <row r="99" spans="1:8">
      <c r="A99" s="2975">
        <v>93</v>
      </c>
      <c r="B99" s="3038" t="s">
        <v>3172</v>
      </c>
      <c r="C99" s="3039" t="str">
        <f t="shared" si="2"/>
        <v>13</v>
      </c>
      <c r="D99" s="3040" t="str">
        <f t="shared" si="3"/>
        <v>1</v>
      </c>
      <c r="E99" s="3040" t="s">
        <v>3549</v>
      </c>
      <c r="F99" s="3038" t="s">
        <v>3452</v>
      </c>
      <c r="G99" s="3041">
        <v>134.18</v>
      </c>
      <c r="H99" s="3042">
        <v>11</v>
      </c>
    </row>
    <row r="100" spans="1:8">
      <c r="A100" s="2975">
        <v>94</v>
      </c>
      <c r="B100" s="3038" t="s">
        <v>3172</v>
      </c>
      <c r="C100" s="3039" t="str">
        <f t="shared" si="2"/>
        <v>13</v>
      </c>
      <c r="D100" s="3040" t="str">
        <f t="shared" si="3"/>
        <v>1</v>
      </c>
      <c r="E100" s="3040" t="s">
        <v>3550</v>
      </c>
      <c r="F100" s="3038" t="s">
        <v>3452</v>
      </c>
      <c r="G100" s="3041">
        <v>134.97999999999999</v>
      </c>
      <c r="H100" s="3042">
        <v>11</v>
      </c>
    </row>
    <row r="101" spans="1:8">
      <c r="A101" s="2975">
        <v>95</v>
      </c>
      <c r="B101" s="3038" t="s">
        <v>3172</v>
      </c>
      <c r="C101" s="3039" t="str">
        <f t="shared" si="2"/>
        <v>13</v>
      </c>
      <c r="D101" s="3040" t="str">
        <f t="shared" si="3"/>
        <v>1</v>
      </c>
      <c r="E101" s="3040" t="s">
        <v>3551</v>
      </c>
      <c r="F101" s="3038" t="s">
        <v>3452</v>
      </c>
      <c r="G101" s="3041">
        <v>134.18</v>
      </c>
      <c r="H101" s="3042">
        <v>12</v>
      </c>
    </row>
    <row r="102" spans="1:8">
      <c r="A102" s="2975">
        <v>96</v>
      </c>
      <c r="B102" s="3038" t="s">
        <v>3172</v>
      </c>
      <c r="C102" s="3039" t="str">
        <f t="shared" si="2"/>
        <v>13</v>
      </c>
      <c r="D102" s="3040" t="str">
        <f t="shared" si="3"/>
        <v>1</v>
      </c>
      <c r="E102" s="3040" t="s">
        <v>3552</v>
      </c>
      <c r="F102" s="3038" t="s">
        <v>3452</v>
      </c>
      <c r="G102" s="3041">
        <v>134.97999999999999</v>
      </c>
      <c r="H102" s="3042">
        <v>12</v>
      </c>
    </row>
    <row r="103" spans="1:8">
      <c r="A103" s="2975">
        <v>97</v>
      </c>
      <c r="B103" s="3038" t="s">
        <v>3172</v>
      </c>
      <c r="C103" s="3039" t="str">
        <f t="shared" si="2"/>
        <v>13</v>
      </c>
      <c r="D103" s="3040" t="str">
        <f t="shared" si="3"/>
        <v>1</v>
      </c>
      <c r="E103" s="3040" t="s">
        <v>3553</v>
      </c>
      <c r="F103" s="3038" t="s">
        <v>3452</v>
      </c>
      <c r="G103" s="3041">
        <v>134.18</v>
      </c>
      <c r="H103" s="3042">
        <v>13</v>
      </c>
    </row>
    <row r="104" spans="1:8">
      <c r="A104" s="2975">
        <v>98</v>
      </c>
      <c r="B104" s="3038" t="s">
        <v>3172</v>
      </c>
      <c r="C104" s="3039" t="str">
        <f t="shared" si="2"/>
        <v>13</v>
      </c>
      <c r="D104" s="3040" t="str">
        <f t="shared" si="3"/>
        <v>1</v>
      </c>
      <c r="E104" s="3040" t="s">
        <v>3554</v>
      </c>
      <c r="F104" s="3038" t="s">
        <v>3452</v>
      </c>
      <c r="G104" s="3041">
        <v>134.97999999999999</v>
      </c>
      <c r="H104" s="3042">
        <v>13</v>
      </c>
    </row>
    <row r="105" spans="1:8">
      <c r="A105" s="2975">
        <v>99</v>
      </c>
      <c r="B105" s="3038" t="s">
        <v>3172</v>
      </c>
      <c r="C105" s="3039" t="str">
        <f t="shared" si="2"/>
        <v>13</v>
      </c>
      <c r="D105" s="3040" t="str">
        <f t="shared" si="3"/>
        <v>1</v>
      </c>
      <c r="E105" s="3040" t="s">
        <v>3555</v>
      </c>
      <c r="F105" s="3038" t="s">
        <v>3452</v>
      </c>
      <c r="G105" s="3041">
        <v>208.62</v>
      </c>
      <c r="H105" s="3042">
        <v>14</v>
      </c>
    </row>
    <row r="106" spans="1:8">
      <c r="A106" s="2975">
        <v>100</v>
      </c>
      <c r="B106" s="3038" t="s">
        <v>3172</v>
      </c>
      <c r="C106" s="3039" t="str">
        <f t="shared" si="2"/>
        <v>13</v>
      </c>
      <c r="D106" s="3040" t="str">
        <f t="shared" si="3"/>
        <v>1</v>
      </c>
      <c r="E106" s="3040" t="s">
        <v>3556</v>
      </c>
      <c r="F106" s="3038" t="s">
        <v>3452</v>
      </c>
      <c r="G106" s="3041">
        <v>210.07</v>
      </c>
      <c r="H106" s="3042">
        <v>14</v>
      </c>
    </row>
    <row r="107" spans="1:8">
      <c r="A107" s="2975">
        <v>101</v>
      </c>
      <c r="B107" s="3038" t="s">
        <v>3172</v>
      </c>
      <c r="C107" s="3039" t="str">
        <f t="shared" si="2"/>
        <v>13</v>
      </c>
      <c r="D107" s="3040" t="str">
        <f t="shared" si="3"/>
        <v>1</v>
      </c>
      <c r="E107" s="3040" t="s">
        <v>3557</v>
      </c>
      <c r="F107" s="3038" t="s">
        <v>3452</v>
      </c>
      <c r="G107" s="3041">
        <v>134.18</v>
      </c>
      <c r="H107" s="3042">
        <v>3</v>
      </c>
    </row>
    <row r="108" spans="1:8">
      <c r="A108" s="2975">
        <v>102</v>
      </c>
      <c r="B108" s="3038" t="s">
        <v>3172</v>
      </c>
      <c r="C108" s="3039" t="str">
        <f t="shared" si="2"/>
        <v>13</v>
      </c>
      <c r="D108" s="3040" t="str">
        <f t="shared" si="3"/>
        <v>1</v>
      </c>
      <c r="E108" s="3040" t="s">
        <v>3558</v>
      </c>
      <c r="F108" s="3038" t="s">
        <v>3452</v>
      </c>
      <c r="G108" s="3041">
        <v>134.97999999999999</v>
      </c>
      <c r="H108" s="3042">
        <v>3</v>
      </c>
    </row>
    <row r="109" spans="1:8">
      <c r="A109" s="2975">
        <v>103</v>
      </c>
      <c r="B109" s="3038" t="s">
        <v>3172</v>
      </c>
      <c r="C109" s="3039" t="str">
        <f t="shared" si="2"/>
        <v>13</v>
      </c>
      <c r="D109" s="3040" t="str">
        <f t="shared" si="3"/>
        <v>1</v>
      </c>
      <c r="E109" s="3040" t="s">
        <v>3559</v>
      </c>
      <c r="F109" s="3038" t="s">
        <v>3452</v>
      </c>
      <c r="G109" s="3041">
        <v>134.18</v>
      </c>
      <c r="H109" s="3042">
        <v>4</v>
      </c>
    </row>
    <row r="110" spans="1:8">
      <c r="A110" s="2975">
        <v>104</v>
      </c>
      <c r="B110" s="3038" t="s">
        <v>3172</v>
      </c>
      <c r="C110" s="3039" t="str">
        <f t="shared" si="2"/>
        <v>13</v>
      </c>
      <c r="D110" s="3040" t="str">
        <f t="shared" si="3"/>
        <v>1</v>
      </c>
      <c r="E110" s="3040" t="s">
        <v>3560</v>
      </c>
      <c r="F110" s="3038" t="s">
        <v>3452</v>
      </c>
      <c r="G110" s="3041">
        <v>134.97999999999999</v>
      </c>
      <c r="H110" s="3042">
        <v>4</v>
      </c>
    </row>
    <row r="111" spans="1:8">
      <c r="A111" s="2975">
        <v>105</v>
      </c>
      <c r="B111" s="3038" t="s">
        <v>3172</v>
      </c>
      <c r="C111" s="3039" t="str">
        <f t="shared" si="2"/>
        <v>13</v>
      </c>
      <c r="D111" s="3040" t="str">
        <f t="shared" si="3"/>
        <v>1</v>
      </c>
      <c r="E111" s="3040" t="s">
        <v>3561</v>
      </c>
      <c r="F111" s="3038" t="s">
        <v>3452</v>
      </c>
      <c r="G111" s="3041">
        <v>134.18</v>
      </c>
      <c r="H111" s="3042">
        <v>5</v>
      </c>
    </row>
    <row r="112" spans="1:8">
      <c r="A112" s="2975">
        <v>106</v>
      </c>
      <c r="B112" s="3038" t="s">
        <v>3172</v>
      </c>
      <c r="C112" s="3039" t="str">
        <f t="shared" si="2"/>
        <v>13</v>
      </c>
      <c r="D112" s="3040" t="str">
        <f t="shared" si="3"/>
        <v>1</v>
      </c>
      <c r="E112" s="3040" t="s">
        <v>3562</v>
      </c>
      <c r="F112" s="3038" t="s">
        <v>3452</v>
      </c>
      <c r="G112" s="3041">
        <v>134.97999999999999</v>
      </c>
      <c r="H112" s="3042">
        <v>5</v>
      </c>
    </row>
    <row r="113" spans="1:8">
      <c r="A113" s="2975">
        <v>107</v>
      </c>
      <c r="B113" s="3038" t="s">
        <v>3172</v>
      </c>
      <c r="C113" s="3039" t="str">
        <f t="shared" si="2"/>
        <v>13</v>
      </c>
      <c r="D113" s="3040" t="str">
        <f t="shared" si="3"/>
        <v>1</v>
      </c>
      <c r="E113" s="3040" t="s">
        <v>3563</v>
      </c>
      <c r="F113" s="3038" t="s">
        <v>3452</v>
      </c>
      <c r="G113" s="3041">
        <v>134.18</v>
      </c>
      <c r="H113" s="3042">
        <v>6</v>
      </c>
    </row>
    <row r="114" spans="1:8">
      <c r="A114" s="2975">
        <v>108</v>
      </c>
      <c r="B114" s="3038" t="s">
        <v>3172</v>
      </c>
      <c r="C114" s="3039" t="str">
        <f t="shared" ref="C114:C177" si="4">MID(E114,1,2)</f>
        <v>13</v>
      </c>
      <c r="D114" s="3040" t="str">
        <f t="shared" ref="D114:D177" si="5">MID(E114,4,1)</f>
        <v>1</v>
      </c>
      <c r="E114" s="3040" t="s">
        <v>3564</v>
      </c>
      <c r="F114" s="3038" t="s">
        <v>3452</v>
      </c>
      <c r="G114" s="3041">
        <v>134.97999999999999</v>
      </c>
      <c r="H114" s="3042">
        <v>6</v>
      </c>
    </row>
    <row r="115" spans="1:8">
      <c r="A115" s="2975">
        <v>109</v>
      </c>
      <c r="B115" s="3038" t="s">
        <v>3172</v>
      </c>
      <c r="C115" s="3039" t="str">
        <f t="shared" si="4"/>
        <v>13</v>
      </c>
      <c r="D115" s="3040" t="str">
        <f t="shared" si="5"/>
        <v>1</v>
      </c>
      <c r="E115" s="3040" t="s">
        <v>3565</v>
      </c>
      <c r="F115" s="3038" t="s">
        <v>3452</v>
      </c>
      <c r="G115" s="3041">
        <v>134.18</v>
      </c>
      <c r="H115" s="3042">
        <v>7</v>
      </c>
    </row>
    <row r="116" spans="1:8">
      <c r="A116" s="2975">
        <v>110</v>
      </c>
      <c r="B116" s="3038" t="s">
        <v>3172</v>
      </c>
      <c r="C116" s="3039" t="str">
        <f t="shared" si="4"/>
        <v>13</v>
      </c>
      <c r="D116" s="3040" t="str">
        <f t="shared" si="5"/>
        <v>1</v>
      </c>
      <c r="E116" s="3040" t="s">
        <v>3566</v>
      </c>
      <c r="F116" s="3038" t="s">
        <v>3452</v>
      </c>
      <c r="G116" s="3041">
        <v>134.97999999999999</v>
      </c>
      <c r="H116" s="3042">
        <v>7</v>
      </c>
    </row>
    <row r="117" spans="1:8">
      <c r="A117" s="2975">
        <v>111</v>
      </c>
      <c r="B117" s="3038" t="s">
        <v>3172</v>
      </c>
      <c r="C117" s="3039" t="str">
        <f t="shared" si="4"/>
        <v>13</v>
      </c>
      <c r="D117" s="3040" t="str">
        <f t="shared" si="5"/>
        <v>1</v>
      </c>
      <c r="E117" s="3040" t="s">
        <v>3567</v>
      </c>
      <c r="F117" s="3038" t="s">
        <v>3452</v>
      </c>
      <c r="G117" s="3041">
        <v>134.18</v>
      </c>
      <c r="H117" s="3042">
        <v>8</v>
      </c>
    </row>
    <row r="118" spans="1:8">
      <c r="A118" s="2975">
        <v>112</v>
      </c>
      <c r="B118" s="3038" t="s">
        <v>3172</v>
      </c>
      <c r="C118" s="3039" t="str">
        <f t="shared" si="4"/>
        <v>13</v>
      </c>
      <c r="D118" s="3040" t="str">
        <f t="shared" si="5"/>
        <v>1</v>
      </c>
      <c r="E118" s="3040" t="s">
        <v>3568</v>
      </c>
      <c r="F118" s="3038" t="s">
        <v>3452</v>
      </c>
      <c r="G118" s="3041">
        <v>134.97999999999999</v>
      </c>
      <c r="H118" s="3042">
        <v>8</v>
      </c>
    </row>
    <row r="119" spans="1:8">
      <c r="A119" s="2975">
        <v>113</v>
      </c>
      <c r="B119" s="3038" t="s">
        <v>3172</v>
      </c>
      <c r="C119" s="3039" t="str">
        <f t="shared" si="4"/>
        <v>13</v>
      </c>
      <c r="D119" s="3040" t="str">
        <f t="shared" si="5"/>
        <v>1</v>
      </c>
      <c r="E119" s="3040" t="s">
        <v>3569</v>
      </c>
      <c r="F119" s="3038" t="s">
        <v>3452</v>
      </c>
      <c r="G119" s="3041">
        <v>134.18</v>
      </c>
      <c r="H119" s="3042">
        <v>9</v>
      </c>
    </row>
    <row r="120" spans="1:8">
      <c r="A120" s="2975">
        <v>114</v>
      </c>
      <c r="B120" s="3038" t="s">
        <v>3172</v>
      </c>
      <c r="C120" s="3039" t="str">
        <f t="shared" si="4"/>
        <v>13</v>
      </c>
      <c r="D120" s="3040" t="str">
        <f t="shared" si="5"/>
        <v>1</v>
      </c>
      <c r="E120" s="3040" t="s">
        <v>3570</v>
      </c>
      <c r="F120" s="3038" t="s">
        <v>3452</v>
      </c>
      <c r="G120" s="3041">
        <v>134.97999999999999</v>
      </c>
      <c r="H120" s="3042">
        <v>9</v>
      </c>
    </row>
    <row r="121" spans="1:8">
      <c r="A121" s="2975">
        <v>115</v>
      </c>
      <c r="B121" s="3038" t="s">
        <v>3172</v>
      </c>
      <c r="C121" s="3039" t="str">
        <f t="shared" si="4"/>
        <v>14</v>
      </c>
      <c r="D121" s="3040" t="str">
        <f t="shared" si="5"/>
        <v>1</v>
      </c>
      <c r="E121" s="3040" t="s">
        <v>3571</v>
      </c>
      <c r="F121" s="3038" t="s">
        <v>3452</v>
      </c>
      <c r="G121" s="3041">
        <v>134.88</v>
      </c>
      <c r="H121" s="3042">
        <v>10</v>
      </c>
    </row>
    <row r="122" spans="1:8">
      <c r="A122" s="2975">
        <v>116</v>
      </c>
      <c r="B122" s="3038" t="s">
        <v>3172</v>
      </c>
      <c r="C122" s="3039" t="str">
        <f t="shared" si="4"/>
        <v>14</v>
      </c>
      <c r="D122" s="3040" t="str">
        <f t="shared" si="5"/>
        <v>1</v>
      </c>
      <c r="E122" s="3040" t="s">
        <v>3572</v>
      </c>
      <c r="F122" s="3038" t="s">
        <v>3452</v>
      </c>
      <c r="G122" s="3041">
        <v>135.68</v>
      </c>
      <c r="H122" s="3042">
        <v>10</v>
      </c>
    </row>
    <row r="123" spans="1:8">
      <c r="A123" s="2975">
        <v>117</v>
      </c>
      <c r="B123" s="3038" t="s">
        <v>3172</v>
      </c>
      <c r="C123" s="3039" t="str">
        <f t="shared" si="4"/>
        <v>14</v>
      </c>
      <c r="D123" s="3040" t="str">
        <f t="shared" si="5"/>
        <v>1</v>
      </c>
      <c r="E123" s="3040" t="s">
        <v>3573</v>
      </c>
      <c r="F123" s="3038" t="s">
        <v>3452</v>
      </c>
      <c r="G123" s="3041">
        <v>134.88</v>
      </c>
      <c r="H123" s="3042">
        <v>11</v>
      </c>
    </row>
    <row r="124" spans="1:8">
      <c r="A124" s="2975">
        <v>118</v>
      </c>
      <c r="B124" s="3038" t="s">
        <v>3172</v>
      </c>
      <c r="C124" s="3039" t="str">
        <f t="shared" si="4"/>
        <v>14</v>
      </c>
      <c r="D124" s="3040" t="str">
        <f t="shared" si="5"/>
        <v>1</v>
      </c>
      <c r="E124" s="3040" t="s">
        <v>3574</v>
      </c>
      <c r="F124" s="3038" t="s">
        <v>3452</v>
      </c>
      <c r="G124" s="3041">
        <v>135.68</v>
      </c>
      <c r="H124" s="3042">
        <v>11</v>
      </c>
    </row>
    <row r="125" spans="1:8">
      <c r="A125" s="2975">
        <v>119</v>
      </c>
      <c r="B125" s="3038" t="s">
        <v>3172</v>
      </c>
      <c r="C125" s="3039" t="str">
        <f t="shared" si="4"/>
        <v>14</v>
      </c>
      <c r="D125" s="3040" t="str">
        <f t="shared" si="5"/>
        <v>1</v>
      </c>
      <c r="E125" s="3040" t="s">
        <v>3575</v>
      </c>
      <c r="F125" s="3038" t="s">
        <v>3452</v>
      </c>
      <c r="G125" s="3041">
        <v>134.88</v>
      </c>
      <c r="H125" s="3042">
        <v>12</v>
      </c>
    </row>
    <row r="126" spans="1:8">
      <c r="A126" s="2975">
        <v>120</v>
      </c>
      <c r="B126" s="3038" t="s">
        <v>3172</v>
      </c>
      <c r="C126" s="3039" t="str">
        <f t="shared" si="4"/>
        <v>14</v>
      </c>
      <c r="D126" s="3040" t="str">
        <f t="shared" si="5"/>
        <v>1</v>
      </c>
      <c r="E126" s="3040" t="s">
        <v>3576</v>
      </c>
      <c r="F126" s="3038" t="s">
        <v>3452</v>
      </c>
      <c r="G126" s="3041">
        <v>134.88</v>
      </c>
      <c r="H126" s="3042">
        <v>13</v>
      </c>
    </row>
    <row r="127" spans="1:8">
      <c r="A127" s="2975">
        <v>121</v>
      </c>
      <c r="B127" s="3038" t="s">
        <v>3172</v>
      </c>
      <c r="C127" s="3039" t="str">
        <f t="shared" si="4"/>
        <v>14</v>
      </c>
      <c r="D127" s="3040" t="str">
        <f t="shared" si="5"/>
        <v>1</v>
      </c>
      <c r="E127" s="3040" t="s">
        <v>3577</v>
      </c>
      <c r="F127" s="3038" t="s">
        <v>3452</v>
      </c>
      <c r="G127" s="3041">
        <v>135.68</v>
      </c>
      <c r="H127" s="3042">
        <v>13</v>
      </c>
    </row>
    <row r="128" spans="1:8">
      <c r="A128" s="2975">
        <v>122</v>
      </c>
      <c r="B128" s="3038" t="s">
        <v>3172</v>
      </c>
      <c r="C128" s="3039" t="str">
        <f t="shared" si="4"/>
        <v>14</v>
      </c>
      <c r="D128" s="3040" t="str">
        <f t="shared" si="5"/>
        <v>1</v>
      </c>
      <c r="E128" s="3040" t="s">
        <v>3578</v>
      </c>
      <c r="F128" s="3038" t="s">
        <v>3452</v>
      </c>
      <c r="G128" s="3041">
        <v>209.7</v>
      </c>
      <c r="H128" s="3042">
        <v>14</v>
      </c>
    </row>
    <row r="129" spans="1:8">
      <c r="A129" s="2975">
        <v>123</v>
      </c>
      <c r="B129" s="3038" t="s">
        <v>3172</v>
      </c>
      <c r="C129" s="3039" t="str">
        <f t="shared" si="4"/>
        <v>14</v>
      </c>
      <c r="D129" s="3040" t="str">
        <f t="shared" si="5"/>
        <v>1</v>
      </c>
      <c r="E129" s="3040" t="s">
        <v>3579</v>
      </c>
      <c r="F129" s="3038" t="s">
        <v>3452</v>
      </c>
      <c r="G129" s="3041">
        <v>211.15</v>
      </c>
      <c r="H129" s="3042">
        <v>14</v>
      </c>
    </row>
    <row r="130" spans="1:8">
      <c r="A130" s="2975">
        <v>124</v>
      </c>
      <c r="B130" s="3038" t="s">
        <v>3172</v>
      </c>
      <c r="C130" s="3039" t="str">
        <f t="shared" si="4"/>
        <v>14</v>
      </c>
      <c r="D130" s="3040" t="str">
        <f t="shared" si="5"/>
        <v>1</v>
      </c>
      <c r="E130" s="3040" t="s">
        <v>3580</v>
      </c>
      <c r="F130" s="3038" t="s">
        <v>3452</v>
      </c>
      <c r="G130" s="3041">
        <v>134.88</v>
      </c>
      <c r="H130" s="3042">
        <v>3</v>
      </c>
    </row>
    <row r="131" spans="1:8">
      <c r="A131" s="2975">
        <v>125</v>
      </c>
      <c r="B131" s="3038" t="s">
        <v>3172</v>
      </c>
      <c r="C131" s="3039" t="str">
        <f t="shared" si="4"/>
        <v>14</v>
      </c>
      <c r="D131" s="3040" t="str">
        <f t="shared" si="5"/>
        <v>1</v>
      </c>
      <c r="E131" s="3040" t="s">
        <v>3581</v>
      </c>
      <c r="F131" s="3038" t="s">
        <v>3452</v>
      </c>
      <c r="G131" s="3041">
        <v>135.68</v>
      </c>
      <c r="H131" s="3042">
        <v>3</v>
      </c>
    </row>
    <row r="132" spans="1:8">
      <c r="A132" s="2975">
        <v>126</v>
      </c>
      <c r="B132" s="3038" t="s">
        <v>3172</v>
      </c>
      <c r="C132" s="3039" t="str">
        <f t="shared" si="4"/>
        <v>14</v>
      </c>
      <c r="D132" s="3040" t="str">
        <f t="shared" si="5"/>
        <v>1</v>
      </c>
      <c r="E132" s="3040" t="s">
        <v>3582</v>
      </c>
      <c r="F132" s="3038" t="s">
        <v>3452</v>
      </c>
      <c r="G132" s="3041">
        <v>134.88</v>
      </c>
      <c r="H132" s="3042">
        <v>4</v>
      </c>
    </row>
    <row r="133" spans="1:8">
      <c r="A133" s="2975">
        <v>127</v>
      </c>
      <c r="B133" s="3038" t="s">
        <v>3172</v>
      </c>
      <c r="C133" s="3039" t="str">
        <f t="shared" si="4"/>
        <v>14</v>
      </c>
      <c r="D133" s="3040" t="str">
        <f t="shared" si="5"/>
        <v>1</v>
      </c>
      <c r="E133" s="3040" t="s">
        <v>3583</v>
      </c>
      <c r="F133" s="3038" t="s">
        <v>3452</v>
      </c>
      <c r="G133" s="3041">
        <v>135.68</v>
      </c>
      <c r="H133" s="3042">
        <v>4</v>
      </c>
    </row>
    <row r="134" spans="1:8">
      <c r="A134" s="2975">
        <v>128</v>
      </c>
      <c r="B134" s="3038" t="s">
        <v>3172</v>
      </c>
      <c r="C134" s="3039" t="str">
        <f t="shared" si="4"/>
        <v>14</v>
      </c>
      <c r="D134" s="3040" t="str">
        <f t="shared" si="5"/>
        <v>1</v>
      </c>
      <c r="E134" s="3040" t="s">
        <v>3584</v>
      </c>
      <c r="F134" s="3038" t="s">
        <v>3452</v>
      </c>
      <c r="G134" s="3041">
        <v>134.88</v>
      </c>
      <c r="H134" s="3042">
        <v>5</v>
      </c>
    </row>
    <row r="135" spans="1:8">
      <c r="A135" s="2975">
        <v>129</v>
      </c>
      <c r="B135" s="3038" t="s">
        <v>3172</v>
      </c>
      <c r="C135" s="3039" t="str">
        <f t="shared" si="4"/>
        <v>14</v>
      </c>
      <c r="D135" s="3040" t="str">
        <f t="shared" si="5"/>
        <v>1</v>
      </c>
      <c r="E135" s="3040" t="s">
        <v>3585</v>
      </c>
      <c r="F135" s="3038" t="s">
        <v>3452</v>
      </c>
      <c r="G135" s="3041">
        <v>135.68</v>
      </c>
      <c r="H135" s="3042">
        <v>5</v>
      </c>
    </row>
    <row r="136" spans="1:8">
      <c r="A136" s="2975">
        <v>130</v>
      </c>
      <c r="B136" s="3038" t="s">
        <v>3172</v>
      </c>
      <c r="C136" s="3039" t="str">
        <f t="shared" si="4"/>
        <v>14</v>
      </c>
      <c r="D136" s="3040" t="str">
        <f t="shared" si="5"/>
        <v>1</v>
      </c>
      <c r="E136" s="3040" t="s">
        <v>3586</v>
      </c>
      <c r="F136" s="3038" t="s">
        <v>3452</v>
      </c>
      <c r="G136" s="3041">
        <v>134.88</v>
      </c>
      <c r="H136" s="3042">
        <v>6</v>
      </c>
    </row>
    <row r="137" spans="1:8">
      <c r="A137" s="2975">
        <v>131</v>
      </c>
      <c r="B137" s="3038" t="s">
        <v>3172</v>
      </c>
      <c r="C137" s="3039" t="str">
        <f t="shared" si="4"/>
        <v>14</v>
      </c>
      <c r="D137" s="3040" t="str">
        <f t="shared" si="5"/>
        <v>1</v>
      </c>
      <c r="E137" s="3040" t="s">
        <v>3587</v>
      </c>
      <c r="F137" s="3038" t="s">
        <v>3452</v>
      </c>
      <c r="G137" s="3041">
        <v>135.68</v>
      </c>
      <c r="H137" s="3042">
        <v>6</v>
      </c>
    </row>
    <row r="138" spans="1:8">
      <c r="A138" s="2975">
        <v>132</v>
      </c>
      <c r="B138" s="3038" t="s">
        <v>3172</v>
      </c>
      <c r="C138" s="3039" t="str">
        <f t="shared" si="4"/>
        <v>14</v>
      </c>
      <c r="D138" s="3040" t="str">
        <f t="shared" si="5"/>
        <v>1</v>
      </c>
      <c r="E138" s="3040" t="s">
        <v>3588</v>
      </c>
      <c r="F138" s="3038" t="s">
        <v>3452</v>
      </c>
      <c r="G138" s="3041">
        <v>134.88</v>
      </c>
      <c r="H138" s="3042">
        <v>7</v>
      </c>
    </row>
    <row r="139" spans="1:8">
      <c r="A139" s="2975">
        <v>133</v>
      </c>
      <c r="B139" s="3038" t="s">
        <v>3172</v>
      </c>
      <c r="C139" s="3039" t="str">
        <f t="shared" si="4"/>
        <v>14</v>
      </c>
      <c r="D139" s="3040" t="str">
        <f t="shared" si="5"/>
        <v>1</v>
      </c>
      <c r="E139" s="3040" t="s">
        <v>3589</v>
      </c>
      <c r="F139" s="3038" t="s">
        <v>3452</v>
      </c>
      <c r="G139" s="3041">
        <v>135.68</v>
      </c>
      <c r="H139" s="3042">
        <v>7</v>
      </c>
    </row>
    <row r="140" spans="1:8">
      <c r="A140" s="2975">
        <v>134</v>
      </c>
      <c r="B140" s="3038" t="s">
        <v>3172</v>
      </c>
      <c r="C140" s="3039" t="str">
        <f t="shared" si="4"/>
        <v>14</v>
      </c>
      <c r="D140" s="3040" t="str">
        <f t="shared" si="5"/>
        <v>1</v>
      </c>
      <c r="E140" s="3040" t="s">
        <v>3590</v>
      </c>
      <c r="F140" s="3038" t="s">
        <v>3452</v>
      </c>
      <c r="G140" s="3041">
        <v>134.88</v>
      </c>
      <c r="H140" s="3042">
        <v>8</v>
      </c>
    </row>
    <row r="141" spans="1:8">
      <c r="A141" s="2975">
        <v>135</v>
      </c>
      <c r="B141" s="3038" t="s">
        <v>3172</v>
      </c>
      <c r="C141" s="3039" t="str">
        <f t="shared" si="4"/>
        <v>14</v>
      </c>
      <c r="D141" s="3040" t="str">
        <f t="shared" si="5"/>
        <v>1</v>
      </c>
      <c r="E141" s="3040" t="s">
        <v>3591</v>
      </c>
      <c r="F141" s="3038" t="s">
        <v>3452</v>
      </c>
      <c r="G141" s="3041">
        <v>135.68</v>
      </c>
      <c r="H141" s="3042">
        <v>8</v>
      </c>
    </row>
    <row r="142" spans="1:8">
      <c r="A142" s="2975">
        <v>136</v>
      </c>
      <c r="B142" s="3038" t="s">
        <v>3172</v>
      </c>
      <c r="C142" s="3039" t="str">
        <f t="shared" si="4"/>
        <v>14</v>
      </c>
      <c r="D142" s="3040" t="str">
        <f t="shared" si="5"/>
        <v>1</v>
      </c>
      <c r="E142" s="3040" t="s">
        <v>3592</v>
      </c>
      <c r="F142" s="3038" t="s">
        <v>3452</v>
      </c>
      <c r="G142" s="3041">
        <v>134.88</v>
      </c>
      <c r="H142" s="3042">
        <v>9</v>
      </c>
    </row>
    <row r="143" spans="1:8">
      <c r="A143" s="2975">
        <v>137</v>
      </c>
      <c r="B143" s="3038" t="s">
        <v>3172</v>
      </c>
      <c r="C143" s="3039" t="str">
        <f t="shared" si="4"/>
        <v>14</v>
      </c>
      <c r="D143" s="3040" t="str">
        <f t="shared" si="5"/>
        <v>1</v>
      </c>
      <c r="E143" s="3040" t="s">
        <v>3593</v>
      </c>
      <c r="F143" s="3038" t="s">
        <v>3452</v>
      </c>
      <c r="G143" s="3041">
        <v>135.68</v>
      </c>
      <c r="H143" s="3042">
        <v>9</v>
      </c>
    </row>
    <row r="144" spans="1:8">
      <c r="A144" s="2975">
        <v>138</v>
      </c>
      <c r="B144" s="3038" t="s">
        <v>3172</v>
      </c>
      <c r="C144" s="3039" t="str">
        <f t="shared" si="4"/>
        <v>15</v>
      </c>
      <c r="D144" s="3040" t="str">
        <f t="shared" si="5"/>
        <v>1</v>
      </c>
      <c r="E144" s="3040" t="s">
        <v>3594</v>
      </c>
      <c r="F144" s="3038" t="s">
        <v>3173</v>
      </c>
      <c r="G144" s="3040">
        <v>93.86</v>
      </c>
      <c r="H144" s="3043">
        <v>1</v>
      </c>
    </row>
    <row r="145" spans="1:8">
      <c r="A145" s="2975">
        <v>139</v>
      </c>
      <c r="B145" s="3038" t="s">
        <v>3172</v>
      </c>
      <c r="C145" s="3039" t="str">
        <f t="shared" si="4"/>
        <v>15</v>
      </c>
      <c r="D145" s="3040" t="str">
        <f t="shared" si="5"/>
        <v>1</v>
      </c>
      <c r="E145" s="3040" t="s">
        <v>3595</v>
      </c>
      <c r="F145" s="3038" t="s">
        <v>3173</v>
      </c>
      <c r="G145" s="3040">
        <v>93.5</v>
      </c>
      <c r="H145" s="3043">
        <v>1</v>
      </c>
    </row>
    <row r="146" spans="1:8">
      <c r="A146" s="2975">
        <v>140</v>
      </c>
      <c r="B146" s="3038" t="s">
        <v>3172</v>
      </c>
      <c r="C146" s="3039" t="str">
        <f t="shared" si="4"/>
        <v>15</v>
      </c>
      <c r="D146" s="3040" t="str">
        <f t="shared" si="5"/>
        <v>1</v>
      </c>
      <c r="E146" s="3040" t="s">
        <v>3596</v>
      </c>
      <c r="F146" s="3038" t="s">
        <v>3173</v>
      </c>
      <c r="G146" s="3040">
        <v>93.86</v>
      </c>
      <c r="H146" s="3043">
        <v>2</v>
      </c>
    </row>
    <row r="147" spans="1:8">
      <c r="A147" s="2975">
        <v>141</v>
      </c>
      <c r="B147" s="3038" t="s">
        <v>3172</v>
      </c>
      <c r="C147" s="3039" t="str">
        <f t="shared" si="4"/>
        <v>15</v>
      </c>
      <c r="D147" s="3040" t="str">
        <f t="shared" si="5"/>
        <v>1</v>
      </c>
      <c r="E147" s="3040" t="s">
        <v>3597</v>
      </c>
      <c r="F147" s="3038" t="s">
        <v>3173</v>
      </c>
      <c r="G147" s="3040">
        <v>93.86</v>
      </c>
      <c r="H147" s="3043">
        <v>3</v>
      </c>
    </row>
    <row r="148" spans="1:8">
      <c r="A148" s="2975">
        <v>142</v>
      </c>
      <c r="B148" s="3038" t="s">
        <v>3172</v>
      </c>
      <c r="C148" s="3039" t="str">
        <f t="shared" si="4"/>
        <v>15</v>
      </c>
      <c r="D148" s="3040" t="str">
        <f t="shared" si="5"/>
        <v>1</v>
      </c>
      <c r="E148" s="3040" t="s">
        <v>3598</v>
      </c>
      <c r="F148" s="3038" t="s">
        <v>3173</v>
      </c>
      <c r="G148" s="3040">
        <v>93.86</v>
      </c>
      <c r="H148" s="3043">
        <v>5</v>
      </c>
    </row>
    <row r="149" spans="1:8">
      <c r="A149" s="2975">
        <v>143</v>
      </c>
      <c r="B149" s="3038" t="s">
        <v>3172</v>
      </c>
      <c r="C149" s="3039" t="str">
        <f t="shared" si="4"/>
        <v>15</v>
      </c>
      <c r="D149" s="3040" t="str">
        <f t="shared" si="5"/>
        <v>1</v>
      </c>
      <c r="E149" s="3040" t="s">
        <v>3599</v>
      </c>
      <c r="F149" s="3038" t="s">
        <v>3173</v>
      </c>
      <c r="G149" s="3040">
        <v>155.78</v>
      </c>
      <c r="H149" s="3043">
        <v>6</v>
      </c>
    </row>
    <row r="150" spans="1:8">
      <c r="A150" s="2975">
        <v>144</v>
      </c>
      <c r="B150" s="3038" t="s">
        <v>3172</v>
      </c>
      <c r="C150" s="3039" t="str">
        <f t="shared" si="4"/>
        <v>15</v>
      </c>
      <c r="D150" s="3040" t="str">
        <f t="shared" si="5"/>
        <v>1</v>
      </c>
      <c r="E150" s="3040" t="s">
        <v>3600</v>
      </c>
      <c r="F150" s="3038" t="s">
        <v>3173</v>
      </c>
      <c r="G150" s="3040">
        <v>117.7</v>
      </c>
      <c r="H150" s="3043">
        <v>6</v>
      </c>
    </row>
    <row r="151" spans="1:8">
      <c r="A151" s="2975">
        <v>145</v>
      </c>
      <c r="B151" s="3038" t="s">
        <v>3172</v>
      </c>
      <c r="C151" s="3039" t="str">
        <f t="shared" si="4"/>
        <v>15</v>
      </c>
      <c r="D151" s="3040" t="str">
        <f t="shared" si="5"/>
        <v>2</v>
      </c>
      <c r="E151" s="3040" t="s">
        <v>3601</v>
      </c>
      <c r="F151" s="3038" t="s">
        <v>3173</v>
      </c>
      <c r="G151" s="3040">
        <v>136.6</v>
      </c>
      <c r="H151" s="3043">
        <v>1</v>
      </c>
    </row>
    <row r="152" spans="1:8">
      <c r="A152" s="2975">
        <v>146</v>
      </c>
      <c r="B152" s="3038" t="s">
        <v>3172</v>
      </c>
      <c r="C152" s="3039" t="str">
        <f t="shared" si="4"/>
        <v>15</v>
      </c>
      <c r="D152" s="3040" t="str">
        <f t="shared" si="5"/>
        <v>2</v>
      </c>
      <c r="E152" s="3040" t="s">
        <v>3602</v>
      </c>
      <c r="F152" s="3038" t="s">
        <v>3173</v>
      </c>
      <c r="G152" s="3040">
        <v>136.22</v>
      </c>
      <c r="H152" s="3043">
        <v>1</v>
      </c>
    </row>
    <row r="153" spans="1:8">
      <c r="A153" s="2975">
        <v>147</v>
      </c>
      <c r="B153" s="3038" t="s">
        <v>3172</v>
      </c>
      <c r="C153" s="3039" t="str">
        <f t="shared" si="4"/>
        <v>15</v>
      </c>
      <c r="D153" s="3040" t="str">
        <f t="shared" si="5"/>
        <v>2</v>
      </c>
      <c r="E153" s="3040" t="s">
        <v>3603</v>
      </c>
      <c r="F153" s="3038" t="s">
        <v>3173</v>
      </c>
      <c r="G153" s="3040">
        <v>136.6</v>
      </c>
      <c r="H153" s="3043">
        <v>2</v>
      </c>
    </row>
    <row r="154" spans="1:8">
      <c r="A154" s="2975">
        <v>148</v>
      </c>
      <c r="B154" s="3038" t="s">
        <v>3172</v>
      </c>
      <c r="C154" s="3039" t="str">
        <f t="shared" si="4"/>
        <v>15</v>
      </c>
      <c r="D154" s="3040" t="str">
        <f t="shared" si="5"/>
        <v>2</v>
      </c>
      <c r="E154" s="3040" t="s">
        <v>3604</v>
      </c>
      <c r="F154" s="3038" t="s">
        <v>3173</v>
      </c>
      <c r="G154" s="3040">
        <v>136.22</v>
      </c>
      <c r="H154" s="3043">
        <v>2</v>
      </c>
    </row>
    <row r="155" spans="1:8">
      <c r="A155" s="2975">
        <v>149</v>
      </c>
      <c r="B155" s="3038" t="s">
        <v>3172</v>
      </c>
      <c r="C155" s="3039" t="str">
        <f t="shared" si="4"/>
        <v>15</v>
      </c>
      <c r="D155" s="3040" t="str">
        <f t="shared" si="5"/>
        <v>2</v>
      </c>
      <c r="E155" s="3040" t="s">
        <v>3605</v>
      </c>
      <c r="F155" s="3038" t="s">
        <v>3173</v>
      </c>
      <c r="G155" s="3040">
        <v>136.6</v>
      </c>
      <c r="H155" s="3043">
        <v>3</v>
      </c>
    </row>
    <row r="156" spans="1:8">
      <c r="A156" s="2975">
        <v>150</v>
      </c>
      <c r="B156" s="3038" t="s">
        <v>3172</v>
      </c>
      <c r="C156" s="3039" t="str">
        <f t="shared" si="4"/>
        <v>15</v>
      </c>
      <c r="D156" s="3040" t="str">
        <f t="shared" si="5"/>
        <v>2</v>
      </c>
      <c r="E156" s="3040" t="s">
        <v>3606</v>
      </c>
      <c r="F156" s="3038" t="s">
        <v>3173</v>
      </c>
      <c r="G156" s="3040">
        <v>136.22</v>
      </c>
      <c r="H156" s="3043">
        <v>3</v>
      </c>
    </row>
    <row r="157" spans="1:8">
      <c r="A157" s="2975">
        <v>151</v>
      </c>
      <c r="B157" s="3038" t="s">
        <v>3172</v>
      </c>
      <c r="C157" s="3039" t="str">
        <f t="shared" si="4"/>
        <v>15</v>
      </c>
      <c r="D157" s="3040" t="str">
        <f t="shared" si="5"/>
        <v>2</v>
      </c>
      <c r="E157" s="3040" t="s">
        <v>3607</v>
      </c>
      <c r="F157" s="3038" t="s">
        <v>3173</v>
      </c>
      <c r="G157" s="3040">
        <v>136.6</v>
      </c>
      <c r="H157" s="3043">
        <v>4</v>
      </c>
    </row>
    <row r="158" spans="1:8">
      <c r="A158" s="2975">
        <v>152</v>
      </c>
      <c r="B158" s="3038" t="s">
        <v>3172</v>
      </c>
      <c r="C158" s="3039" t="str">
        <f t="shared" si="4"/>
        <v>15</v>
      </c>
      <c r="D158" s="3040" t="str">
        <f t="shared" si="5"/>
        <v>2</v>
      </c>
      <c r="E158" s="3040" t="s">
        <v>3608</v>
      </c>
      <c r="F158" s="3038" t="s">
        <v>3173</v>
      </c>
      <c r="G158" s="3040">
        <v>136.22</v>
      </c>
      <c r="H158" s="3043">
        <v>4</v>
      </c>
    </row>
    <row r="159" spans="1:8">
      <c r="A159" s="2975">
        <v>153</v>
      </c>
      <c r="B159" s="3038" t="s">
        <v>3172</v>
      </c>
      <c r="C159" s="3039" t="str">
        <f t="shared" si="4"/>
        <v>15</v>
      </c>
      <c r="D159" s="3040" t="str">
        <f t="shared" si="5"/>
        <v>2</v>
      </c>
      <c r="E159" s="3040" t="s">
        <v>3609</v>
      </c>
      <c r="F159" s="3038" t="s">
        <v>3173</v>
      </c>
      <c r="G159" s="3040">
        <v>136.6</v>
      </c>
      <c r="H159" s="3043">
        <v>5</v>
      </c>
    </row>
    <row r="160" spans="1:8">
      <c r="A160" s="2975">
        <v>154</v>
      </c>
      <c r="B160" s="3038" t="s">
        <v>3172</v>
      </c>
      <c r="C160" s="3039" t="str">
        <f t="shared" si="4"/>
        <v>15</v>
      </c>
      <c r="D160" s="3040" t="str">
        <f t="shared" si="5"/>
        <v>2</v>
      </c>
      <c r="E160" s="3040" t="s">
        <v>3610</v>
      </c>
      <c r="F160" s="3038" t="s">
        <v>3173</v>
      </c>
      <c r="G160" s="3040">
        <v>136.22</v>
      </c>
      <c r="H160" s="3043">
        <v>5</v>
      </c>
    </row>
    <row r="161" spans="1:8">
      <c r="A161" s="2975">
        <v>155</v>
      </c>
      <c r="B161" s="3038" t="s">
        <v>3172</v>
      </c>
      <c r="C161" s="3039" t="str">
        <f t="shared" si="4"/>
        <v>15</v>
      </c>
      <c r="D161" s="3040" t="str">
        <f t="shared" si="5"/>
        <v>2</v>
      </c>
      <c r="E161" s="3040" t="s">
        <v>3611</v>
      </c>
      <c r="F161" s="3038" t="s">
        <v>3173</v>
      </c>
      <c r="G161" s="3040">
        <v>229.01</v>
      </c>
      <c r="H161" s="3043">
        <v>6</v>
      </c>
    </row>
    <row r="162" spans="1:8">
      <c r="A162" s="2975">
        <v>156</v>
      </c>
      <c r="B162" s="3038" t="s">
        <v>3172</v>
      </c>
      <c r="C162" s="3039" t="str">
        <f t="shared" si="4"/>
        <v>15</v>
      </c>
      <c r="D162" s="3040" t="str">
        <f t="shared" si="5"/>
        <v>2</v>
      </c>
      <c r="E162" s="3040" t="s">
        <v>3612</v>
      </c>
      <c r="F162" s="3038" t="s">
        <v>3173</v>
      </c>
      <c r="G162" s="3040">
        <v>214.95</v>
      </c>
      <c r="H162" s="3043">
        <v>6</v>
      </c>
    </row>
    <row r="163" spans="1:8">
      <c r="A163" s="2975">
        <v>157</v>
      </c>
      <c r="B163" s="3038" t="s">
        <v>3172</v>
      </c>
      <c r="C163" s="3039" t="str">
        <f t="shared" si="4"/>
        <v>15</v>
      </c>
      <c r="D163" s="3040" t="str">
        <f t="shared" si="5"/>
        <v>3</v>
      </c>
      <c r="E163" s="3040" t="s">
        <v>3613</v>
      </c>
      <c r="F163" s="3038" t="s">
        <v>3173</v>
      </c>
      <c r="G163" s="3040">
        <v>136.22</v>
      </c>
      <c r="H163" s="3043">
        <v>1</v>
      </c>
    </row>
    <row r="164" spans="1:8">
      <c r="A164" s="2975">
        <v>158</v>
      </c>
      <c r="B164" s="3038" t="s">
        <v>3172</v>
      </c>
      <c r="C164" s="3039" t="str">
        <f t="shared" si="4"/>
        <v>15</v>
      </c>
      <c r="D164" s="3040" t="str">
        <f t="shared" si="5"/>
        <v>3</v>
      </c>
      <c r="E164" s="3040" t="s">
        <v>3614</v>
      </c>
      <c r="F164" s="3038" t="s">
        <v>3173</v>
      </c>
      <c r="G164" s="3040">
        <v>136.6</v>
      </c>
      <c r="H164" s="3043">
        <v>1</v>
      </c>
    </row>
    <row r="165" spans="1:8">
      <c r="A165" s="2975">
        <v>159</v>
      </c>
      <c r="B165" s="3038" t="s">
        <v>3172</v>
      </c>
      <c r="C165" s="3039" t="str">
        <f t="shared" si="4"/>
        <v>15</v>
      </c>
      <c r="D165" s="3040" t="str">
        <f t="shared" si="5"/>
        <v>3</v>
      </c>
      <c r="E165" s="3040" t="s">
        <v>3615</v>
      </c>
      <c r="F165" s="3038" t="s">
        <v>3173</v>
      </c>
      <c r="G165" s="3040">
        <v>136.22</v>
      </c>
      <c r="H165" s="3043">
        <v>2</v>
      </c>
    </row>
    <row r="166" spans="1:8">
      <c r="A166" s="2975">
        <v>160</v>
      </c>
      <c r="B166" s="3038" t="s">
        <v>3172</v>
      </c>
      <c r="C166" s="3039" t="str">
        <f t="shared" si="4"/>
        <v>15</v>
      </c>
      <c r="D166" s="3040" t="str">
        <f t="shared" si="5"/>
        <v>3</v>
      </c>
      <c r="E166" s="3040" t="s">
        <v>3616</v>
      </c>
      <c r="F166" s="3038" t="s">
        <v>3173</v>
      </c>
      <c r="G166" s="3040">
        <v>136.6</v>
      </c>
      <c r="H166" s="3043">
        <v>2</v>
      </c>
    </row>
    <row r="167" spans="1:8">
      <c r="A167" s="2975">
        <v>161</v>
      </c>
      <c r="B167" s="3038" t="s">
        <v>3172</v>
      </c>
      <c r="C167" s="3039" t="str">
        <f t="shared" si="4"/>
        <v>15</v>
      </c>
      <c r="D167" s="3040" t="str">
        <f t="shared" si="5"/>
        <v>3</v>
      </c>
      <c r="E167" s="3040" t="s">
        <v>3617</v>
      </c>
      <c r="F167" s="3038" t="s">
        <v>3173</v>
      </c>
      <c r="G167" s="3040">
        <v>136.22</v>
      </c>
      <c r="H167" s="3043">
        <v>3</v>
      </c>
    </row>
    <row r="168" spans="1:8">
      <c r="A168" s="2975">
        <v>162</v>
      </c>
      <c r="B168" s="3038" t="s">
        <v>3172</v>
      </c>
      <c r="C168" s="3039" t="str">
        <f t="shared" si="4"/>
        <v>15</v>
      </c>
      <c r="D168" s="3040" t="str">
        <f t="shared" si="5"/>
        <v>3</v>
      </c>
      <c r="E168" s="3040" t="s">
        <v>3618</v>
      </c>
      <c r="F168" s="3038" t="s">
        <v>3173</v>
      </c>
      <c r="G168" s="3040">
        <v>136.6</v>
      </c>
      <c r="H168" s="3043">
        <v>3</v>
      </c>
    </row>
    <row r="169" spans="1:8">
      <c r="A169" s="2975">
        <v>163</v>
      </c>
      <c r="B169" s="3038" t="s">
        <v>3172</v>
      </c>
      <c r="C169" s="3039" t="str">
        <f t="shared" si="4"/>
        <v>15</v>
      </c>
      <c r="D169" s="3040" t="str">
        <f t="shared" si="5"/>
        <v>3</v>
      </c>
      <c r="E169" s="3040" t="s">
        <v>3619</v>
      </c>
      <c r="F169" s="3038" t="s">
        <v>3173</v>
      </c>
      <c r="G169" s="3040">
        <v>136.22</v>
      </c>
      <c r="H169" s="3043">
        <v>5</v>
      </c>
    </row>
    <row r="170" spans="1:8">
      <c r="A170" s="2975">
        <v>164</v>
      </c>
      <c r="B170" s="3038" t="s">
        <v>3172</v>
      </c>
      <c r="C170" s="3039" t="str">
        <f t="shared" si="4"/>
        <v>15</v>
      </c>
      <c r="D170" s="3040" t="str">
        <f t="shared" si="5"/>
        <v>3</v>
      </c>
      <c r="E170" s="3040" t="s">
        <v>3620</v>
      </c>
      <c r="F170" s="3038" t="s">
        <v>3173</v>
      </c>
      <c r="G170" s="3040">
        <v>214.95</v>
      </c>
      <c r="H170" s="3043">
        <v>6</v>
      </c>
    </row>
    <row r="171" spans="1:8">
      <c r="A171" s="2975">
        <v>165</v>
      </c>
      <c r="B171" s="3038" t="s">
        <v>3172</v>
      </c>
      <c r="C171" s="3039" t="str">
        <f t="shared" si="4"/>
        <v>15</v>
      </c>
      <c r="D171" s="3040" t="str">
        <f t="shared" si="5"/>
        <v>3</v>
      </c>
      <c r="E171" s="3040" t="s">
        <v>3621</v>
      </c>
      <c r="F171" s="3038" t="s">
        <v>3173</v>
      </c>
      <c r="G171" s="3040">
        <v>216.74</v>
      </c>
      <c r="H171" s="3043">
        <v>6</v>
      </c>
    </row>
    <row r="172" spans="1:8">
      <c r="A172" s="2975">
        <v>166</v>
      </c>
      <c r="B172" s="3038" t="s">
        <v>3172</v>
      </c>
      <c r="C172" s="3039" t="str">
        <f t="shared" si="4"/>
        <v>15</v>
      </c>
      <c r="D172" s="3040" t="str">
        <f t="shared" si="5"/>
        <v>4</v>
      </c>
      <c r="E172" s="3040" t="s">
        <v>3622</v>
      </c>
      <c r="F172" s="3038" t="s">
        <v>3173</v>
      </c>
      <c r="G172" s="3040">
        <v>93.5</v>
      </c>
      <c r="H172" s="3043">
        <v>1</v>
      </c>
    </row>
    <row r="173" spans="1:8">
      <c r="A173" s="2975">
        <v>167</v>
      </c>
      <c r="B173" s="3038" t="s">
        <v>3172</v>
      </c>
      <c r="C173" s="3039" t="str">
        <f t="shared" si="4"/>
        <v>15</v>
      </c>
      <c r="D173" s="3040" t="str">
        <f t="shared" si="5"/>
        <v>4</v>
      </c>
      <c r="E173" s="3040" t="s">
        <v>3623</v>
      </c>
      <c r="F173" s="3038" t="s">
        <v>3173</v>
      </c>
      <c r="G173" s="3040">
        <v>93.86</v>
      </c>
      <c r="H173" s="3043">
        <v>1</v>
      </c>
    </row>
    <row r="174" spans="1:8">
      <c r="A174" s="2975">
        <v>168</v>
      </c>
      <c r="B174" s="3038" t="s">
        <v>3172</v>
      </c>
      <c r="C174" s="3039" t="str">
        <f t="shared" si="4"/>
        <v>15</v>
      </c>
      <c r="D174" s="3040" t="str">
        <f t="shared" si="5"/>
        <v>4</v>
      </c>
      <c r="E174" s="3040" t="s">
        <v>3624</v>
      </c>
      <c r="F174" s="3038" t="s">
        <v>3173</v>
      </c>
      <c r="G174" s="3040">
        <v>93.86</v>
      </c>
      <c r="H174" s="3043">
        <v>2</v>
      </c>
    </row>
    <row r="175" spans="1:8">
      <c r="A175" s="2975">
        <v>169</v>
      </c>
      <c r="B175" s="3038" t="s">
        <v>3172</v>
      </c>
      <c r="C175" s="3039" t="str">
        <f t="shared" si="4"/>
        <v>15</v>
      </c>
      <c r="D175" s="3040" t="str">
        <f t="shared" si="5"/>
        <v>4</v>
      </c>
      <c r="E175" s="3040" t="s">
        <v>3625</v>
      </c>
      <c r="F175" s="3038" t="s">
        <v>3173</v>
      </c>
      <c r="G175" s="3040">
        <v>93.86</v>
      </c>
      <c r="H175" s="3043">
        <v>3</v>
      </c>
    </row>
    <row r="176" spans="1:8">
      <c r="A176" s="2975">
        <v>170</v>
      </c>
      <c r="B176" s="3038" t="s">
        <v>3172</v>
      </c>
      <c r="C176" s="3039" t="str">
        <f t="shared" si="4"/>
        <v>15</v>
      </c>
      <c r="D176" s="3040" t="str">
        <f t="shared" si="5"/>
        <v>4</v>
      </c>
      <c r="E176" s="3040" t="s">
        <v>3626</v>
      </c>
      <c r="F176" s="3038" t="s">
        <v>3173</v>
      </c>
      <c r="G176" s="3040">
        <v>93.86</v>
      </c>
      <c r="H176" s="3043">
        <v>5</v>
      </c>
    </row>
    <row r="177" spans="1:8">
      <c r="A177" s="2975">
        <v>171</v>
      </c>
      <c r="B177" s="3038" t="s">
        <v>3172</v>
      </c>
      <c r="C177" s="3039" t="str">
        <f t="shared" si="4"/>
        <v>15</v>
      </c>
      <c r="D177" s="3040" t="str">
        <f t="shared" si="5"/>
        <v>4</v>
      </c>
      <c r="E177" s="3040" t="s">
        <v>3627</v>
      </c>
      <c r="F177" s="3038" t="s">
        <v>3173</v>
      </c>
      <c r="G177" s="3040">
        <v>117.7</v>
      </c>
      <c r="H177" s="3043">
        <v>6</v>
      </c>
    </row>
    <row r="178" spans="1:8">
      <c r="A178" s="2975">
        <v>172</v>
      </c>
      <c r="B178" s="3038" t="s">
        <v>3172</v>
      </c>
      <c r="C178" s="3039" t="str">
        <f t="shared" ref="C178" si="6">MID(E178,1,2)</f>
        <v>15</v>
      </c>
      <c r="D178" s="3040" t="str">
        <f t="shared" ref="D178" si="7">MID(E178,4,1)</f>
        <v>4</v>
      </c>
      <c r="E178" s="3040" t="s">
        <v>3628</v>
      </c>
      <c r="F178" s="3038" t="s">
        <v>3173</v>
      </c>
      <c r="G178" s="3040">
        <v>155.78</v>
      </c>
      <c r="H178" s="3043">
        <v>6</v>
      </c>
    </row>
    <row r="179" spans="1:8">
      <c r="A179" s="2975">
        <v>173</v>
      </c>
      <c r="B179" s="3038" t="s">
        <v>3172</v>
      </c>
      <c r="C179" s="3039" t="str">
        <f t="shared" ref="C179:C229" si="8">MID(E179,1,1)</f>
        <v>2</v>
      </c>
      <c r="D179" s="3040" t="str">
        <f t="shared" ref="D179:D229" si="9">MID(E179,3,1)</f>
        <v>1</v>
      </c>
      <c r="E179" s="3040" t="s">
        <v>3629</v>
      </c>
      <c r="F179" s="3038" t="s">
        <v>3173</v>
      </c>
      <c r="G179" s="3040">
        <v>96.4</v>
      </c>
      <c r="H179" s="3043">
        <v>1</v>
      </c>
    </row>
    <row r="180" spans="1:8">
      <c r="A180" s="2975">
        <v>174</v>
      </c>
      <c r="B180" s="3038" t="s">
        <v>3172</v>
      </c>
      <c r="C180" s="3039" t="str">
        <f t="shared" si="8"/>
        <v>2</v>
      </c>
      <c r="D180" s="3040" t="str">
        <f t="shared" si="9"/>
        <v>1</v>
      </c>
      <c r="E180" s="3040" t="s">
        <v>3630</v>
      </c>
      <c r="F180" s="3038" t="s">
        <v>3173</v>
      </c>
      <c r="G180" s="3040">
        <v>96.48</v>
      </c>
      <c r="H180" s="3043">
        <v>1</v>
      </c>
    </row>
    <row r="181" spans="1:8">
      <c r="A181" s="2975">
        <v>175</v>
      </c>
      <c r="B181" s="3038" t="s">
        <v>3172</v>
      </c>
      <c r="C181" s="3039" t="str">
        <f t="shared" si="8"/>
        <v>2</v>
      </c>
      <c r="D181" s="3040" t="str">
        <f t="shared" si="9"/>
        <v>1</v>
      </c>
      <c r="E181" s="3040" t="s">
        <v>3631</v>
      </c>
      <c r="F181" s="3038" t="s">
        <v>3173</v>
      </c>
      <c r="G181" s="3040">
        <v>96.48</v>
      </c>
      <c r="H181" s="3043">
        <v>5</v>
      </c>
    </row>
    <row r="182" spans="1:8">
      <c r="A182" s="2975">
        <v>176</v>
      </c>
      <c r="B182" s="3038" t="s">
        <v>3172</v>
      </c>
      <c r="C182" s="3039" t="str">
        <f t="shared" si="8"/>
        <v>2</v>
      </c>
      <c r="D182" s="3040" t="str">
        <f t="shared" si="9"/>
        <v>1</v>
      </c>
      <c r="E182" s="3040" t="s">
        <v>3632</v>
      </c>
      <c r="F182" s="3038" t="s">
        <v>3173</v>
      </c>
      <c r="G182" s="3040">
        <v>121.59</v>
      </c>
      <c r="H182" s="3043">
        <v>6</v>
      </c>
    </row>
    <row r="183" spans="1:8">
      <c r="A183" s="2975">
        <v>177</v>
      </c>
      <c r="B183" s="3038" t="s">
        <v>3172</v>
      </c>
      <c r="C183" s="3039" t="str">
        <f t="shared" si="8"/>
        <v>2</v>
      </c>
      <c r="D183" s="3040" t="str">
        <f t="shared" si="9"/>
        <v>2</v>
      </c>
      <c r="E183" s="3040" t="s">
        <v>3633</v>
      </c>
      <c r="F183" s="3038" t="s">
        <v>3173</v>
      </c>
      <c r="G183" s="3040">
        <v>96.4</v>
      </c>
      <c r="H183" s="3043">
        <v>1</v>
      </c>
    </row>
    <row r="184" spans="1:8">
      <c r="A184" s="2975">
        <v>178</v>
      </c>
      <c r="B184" s="3038" t="s">
        <v>3172</v>
      </c>
      <c r="C184" s="3039" t="str">
        <f t="shared" si="8"/>
        <v>2</v>
      </c>
      <c r="D184" s="3040" t="str">
        <f t="shared" si="9"/>
        <v>2</v>
      </c>
      <c r="E184" s="3040" t="s">
        <v>3634</v>
      </c>
      <c r="F184" s="3038" t="s">
        <v>3173</v>
      </c>
      <c r="G184" s="3040">
        <v>96.03</v>
      </c>
      <c r="H184" s="3043">
        <v>1</v>
      </c>
    </row>
    <row r="185" spans="1:8">
      <c r="A185" s="2975">
        <v>179</v>
      </c>
      <c r="B185" s="3038" t="s">
        <v>3172</v>
      </c>
      <c r="C185" s="3039" t="str">
        <f t="shared" si="8"/>
        <v>2</v>
      </c>
      <c r="D185" s="3040" t="str">
        <f t="shared" si="9"/>
        <v>2</v>
      </c>
      <c r="E185" s="3040" t="s">
        <v>3635</v>
      </c>
      <c r="F185" s="3038" t="s">
        <v>3173</v>
      </c>
      <c r="G185" s="3040">
        <v>96.4</v>
      </c>
      <c r="H185" s="3043">
        <v>5</v>
      </c>
    </row>
    <row r="186" spans="1:8">
      <c r="A186" s="2975">
        <v>180</v>
      </c>
      <c r="B186" s="3038" t="s">
        <v>3172</v>
      </c>
      <c r="C186" s="3039" t="str">
        <f t="shared" si="8"/>
        <v>2</v>
      </c>
      <c r="D186" s="3040" t="str">
        <f t="shared" si="9"/>
        <v>2</v>
      </c>
      <c r="E186" s="3040" t="s">
        <v>3636</v>
      </c>
      <c r="F186" s="3038" t="s">
        <v>3173</v>
      </c>
      <c r="G186" s="3040">
        <v>152.4</v>
      </c>
      <c r="H186" s="3043">
        <v>6</v>
      </c>
    </row>
    <row r="187" spans="1:8">
      <c r="A187" s="2975">
        <v>181</v>
      </c>
      <c r="B187" s="3038" t="s">
        <v>3172</v>
      </c>
      <c r="C187" s="3039" t="str">
        <f t="shared" si="8"/>
        <v>2</v>
      </c>
      <c r="D187" s="3040" t="str">
        <f t="shared" si="9"/>
        <v>3</v>
      </c>
      <c r="E187" s="3040" t="s">
        <v>3637</v>
      </c>
      <c r="F187" s="3038" t="s">
        <v>3173</v>
      </c>
      <c r="G187" s="3040">
        <v>96.03</v>
      </c>
      <c r="H187" s="3043">
        <v>1</v>
      </c>
    </row>
    <row r="188" spans="1:8">
      <c r="A188" s="2975">
        <v>182</v>
      </c>
      <c r="B188" s="3038" t="s">
        <v>3172</v>
      </c>
      <c r="C188" s="3039" t="str">
        <f t="shared" si="8"/>
        <v>2</v>
      </c>
      <c r="D188" s="3040" t="str">
        <f t="shared" si="9"/>
        <v>3</v>
      </c>
      <c r="E188" s="3040" t="s">
        <v>3638</v>
      </c>
      <c r="F188" s="3038" t="s">
        <v>3173</v>
      </c>
      <c r="G188" s="3040">
        <v>96.4</v>
      </c>
      <c r="H188" s="3043">
        <v>1</v>
      </c>
    </row>
    <row r="189" spans="1:8">
      <c r="A189" s="2975">
        <v>183</v>
      </c>
      <c r="B189" s="3038" t="s">
        <v>3172</v>
      </c>
      <c r="C189" s="3039" t="str">
        <f t="shared" si="8"/>
        <v>2</v>
      </c>
      <c r="D189" s="3040" t="str">
        <f t="shared" si="9"/>
        <v>3</v>
      </c>
      <c r="E189" s="3040" t="s">
        <v>3639</v>
      </c>
      <c r="F189" s="3038" t="s">
        <v>3173</v>
      </c>
      <c r="G189" s="3040">
        <v>96.03</v>
      </c>
      <c r="H189" s="3043">
        <v>2</v>
      </c>
    </row>
    <row r="190" spans="1:8">
      <c r="A190" s="2975">
        <v>184</v>
      </c>
      <c r="B190" s="3038" t="s">
        <v>3172</v>
      </c>
      <c r="C190" s="3039" t="str">
        <f t="shared" si="8"/>
        <v>2</v>
      </c>
      <c r="D190" s="3040" t="str">
        <f t="shared" si="9"/>
        <v>3</v>
      </c>
      <c r="E190" s="3040" t="s">
        <v>3640</v>
      </c>
      <c r="F190" s="3038" t="s">
        <v>3173</v>
      </c>
      <c r="G190" s="3040">
        <v>96.4</v>
      </c>
      <c r="H190" s="3043">
        <v>5</v>
      </c>
    </row>
    <row r="191" spans="1:8">
      <c r="A191" s="2975">
        <v>185</v>
      </c>
      <c r="B191" s="3038" t="s">
        <v>3172</v>
      </c>
      <c r="C191" s="3039" t="str">
        <f t="shared" si="8"/>
        <v>2</v>
      </c>
      <c r="D191" s="3040" t="str">
        <f t="shared" si="9"/>
        <v>3</v>
      </c>
      <c r="E191" s="3040" t="s">
        <v>3641</v>
      </c>
      <c r="F191" s="3038" t="s">
        <v>3173</v>
      </c>
      <c r="G191" s="3040">
        <v>152.4</v>
      </c>
      <c r="H191" s="3043">
        <v>6</v>
      </c>
    </row>
    <row r="192" spans="1:8">
      <c r="A192" s="2975">
        <v>186</v>
      </c>
      <c r="B192" s="3038" t="s">
        <v>3172</v>
      </c>
      <c r="C192" s="3039" t="str">
        <f t="shared" si="8"/>
        <v>2</v>
      </c>
      <c r="D192" s="3040" t="str">
        <f t="shared" si="9"/>
        <v>3</v>
      </c>
      <c r="E192" s="3040" t="s">
        <v>3642</v>
      </c>
      <c r="F192" s="3038" t="s">
        <v>3173</v>
      </c>
      <c r="G192" s="3040">
        <v>161.63</v>
      </c>
      <c r="H192" s="3043">
        <v>6</v>
      </c>
    </row>
    <row r="193" spans="1:8">
      <c r="A193" s="2975">
        <v>187</v>
      </c>
      <c r="B193" s="3038" t="s">
        <v>3172</v>
      </c>
      <c r="C193" s="3039" t="str">
        <f t="shared" si="8"/>
        <v>2</v>
      </c>
      <c r="D193" s="3040" t="str">
        <f t="shared" si="9"/>
        <v>4</v>
      </c>
      <c r="E193" s="3040" t="s">
        <v>3643</v>
      </c>
      <c r="F193" s="3038" t="s">
        <v>3173</v>
      </c>
      <c r="G193" s="3040">
        <v>96.48</v>
      </c>
      <c r="H193" s="3043">
        <v>1</v>
      </c>
    </row>
    <row r="194" spans="1:8">
      <c r="A194" s="2975">
        <v>188</v>
      </c>
      <c r="B194" s="3038" t="s">
        <v>3172</v>
      </c>
      <c r="C194" s="3039" t="str">
        <f t="shared" si="8"/>
        <v>2</v>
      </c>
      <c r="D194" s="3040" t="str">
        <f t="shared" si="9"/>
        <v>4</v>
      </c>
      <c r="E194" s="3040" t="s">
        <v>3644</v>
      </c>
      <c r="F194" s="3038" t="s">
        <v>3173</v>
      </c>
      <c r="G194" s="3040">
        <v>96.4</v>
      </c>
      <c r="H194" s="3043">
        <v>1</v>
      </c>
    </row>
    <row r="195" spans="1:8">
      <c r="A195" s="2975">
        <v>189</v>
      </c>
      <c r="B195" s="3038" t="s">
        <v>3172</v>
      </c>
      <c r="C195" s="3039" t="str">
        <f t="shared" si="8"/>
        <v>2</v>
      </c>
      <c r="D195" s="3040" t="str">
        <f t="shared" si="9"/>
        <v>4</v>
      </c>
      <c r="E195" s="3040" t="s">
        <v>3645</v>
      </c>
      <c r="F195" s="3038" t="s">
        <v>3173</v>
      </c>
      <c r="G195" s="3040">
        <v>96.48</v>
      </c>
      <c r="H195" s="3043">
        <v>5</v>
      </c>
    </row>
    <row r="196" spans="1:8">
      <c r="A196" s="2975">
        <v>190</v>
      </c>
      <c r="B196" s="3038" t="s">
        <v>3172</v>
      </c>
      <c r="C196" s="3039" t="str">
        <f t="shared" si="8"/>
        <v>2</v>
      </c>
      <c r="D196" s="3040" t="str">
        <f t="shared" si="9"/>
        <v>4</v>
      </c>
      <c r="E196" s="3040" t="s">
        <v>3646</v>
      </c>
      <c r="F196" s="3038" t="s">
        <v>3173</v>
      </c>
      <c r="G196" s="3040">
        <v>121.59</v>
      </c>
      <c r="H196" s="3043">
        <v>6</v>
      </c>
    </row>
    <row r="197" spans="1:8">
      <c r="A197" s="2975">
        <v>191</v>
      </c>
      <c r="B197" s="3038" t="s">
        <v>3172</v>
      </c>
      <c r="C197" s="3039" t="str">
        <f t="shared" si="8"/>
        <v>2</v>
      </c>
      <c r="D197" s="3040" t="str">
        <f t="shared" si="9"/>
        <v>4</v>
      </c>
      <c r="E197" s="3040" t="s">
        <v>3647</v>
      </c>
      <c r="F197" s="3038" t="s">
        <v>3173</v>
      </c>
      <c r="G197" s="3040">
        <v>154.1</v>
      </c>
      <c r="H197" s="3043">
        <v>6</v>
      </c>
    </row>
    <row r="198" spans="1:8">
      <c r="A198" s="2975">
        <v>192</v>
      </c>
      <c r="B198" s="3038" t="s">
        <v>3172</v>
      </c>
      <c r="C198" s="3039" t="str">
        <f t="shared" si="8"/>
        <v>3</v>
      </c>
      <c r="D198" s="3040" t="str">
        <f t="shared" si="9"/>
        <v>1</v>
      </c>
      <c r="E198" s="3040" t="s">
        <v>3648</v>
      </c>
      <c r="F198" s="3038" t="s">
        <v>3173</v>
      </c>
      <c r="G198" s="3040">
        <v>96.64</v>
      </c>
      <c r="H198" s="3043">
        <v>1</v>
      </c>
    </row>
    <row r="199" spans="1:8">
      <c r="A199" s="2975">
        <v>193</v>
      </c>
      <c r="B199" s="3038" t="s">
        <v>3172</v>
      </c>
      <c r="C199" s="3039" t="str">
        <f t="shared" si="8"/>
        <v>3</v>
      </c>
      <c r="D199" s="3040" t="str">
        <f t="shared" si="9"/>
        <v>1</v>
      </c>
      <c r="E199" s="3040" t="s">
        <v>3649</v>
      </c>
      <c r="F199" s="3038" t="s">
        <v>3173</v>
      </c>
      <c r="G199" s="3040">
        <v>96.71</v>
      </c>
      <c r="H199" s="3043">
        <v>1</v>
      </c>
    </row>
    <row r="200" spans="1:8">
      <c r="A200" s="2975">
        <v>194</v>
      </c>
      <c r="B200" s="3038" t="s">
        <v>3172</v>
      </c>
      <c r="C200" s="3039" t="str">
        <f t="shared" si="8"/>
        <v>3</v>
      </c>
      <c r="D200" s="3040" t="str">
        <f t="shared" si="9"/>
        <v>1</v>
      </c>
      <c r="E200" s="3040" t="s">
        <v>3650</v>
      </c>
      <c r="F200" s="3038" t="s">
        <v>3173</v>
      </c>
      <c r="G200" s="3040">
        <v>96.71</v>
      </c>
      <c r="H200" s="3043">
        <v>3</v>
      </c>
    </row>
    <row r="201" spans="1:8">
      <c r="A201" s="2975">
        <v>195</v>
      </c>
      <c r="B201" s="3038" t="s">
        <v>3172</v>
      </c>
      <c r="C201" s="3039" t="str">
        <f t="shared" si="8"/>
        <v>3</v>
      </c>
      <c r="D201" s="3040" t="str">
        <f t="shared" si="9"/>
        <v>1</v>
      </c>
      <c r="E201" s="3040" t="s">
        <v>3651</v>
      </c>
      <c r="F201" s="3038" t="s">
        <v>3173</v>
      </c>
      <c r="G201" s="3040">
        <v>96.64</v>
      </c>
      <c r="H201" s="3043">
        <v>4</v>
      </c>
    </row>
    <row r="202" spans="1:8">
      <c r="A202" s="2975">
        <v>196</v>
      </c>
      <c r="B202" s="3038" t="s">
        <v>3172</v>
      </c>
      <c r="C202" s="3039" t="str">
        <f t="shared" si="8"/>
        <v>3</v>
      </c>
      <c r="D202" s="3040" t="str">
        <f t="shared" si="9"/>
        <v>1</v>
      </c>
      <c r="E202" s="3040" t="s">
        <v>3652</v>
      </c>
      <c r="F202" s="3038" t="s">
        <v>3173</v>
      </c>
      <c r="G202" s="3040">
        <v>96.71</v>
      </c>
      <c r="H202" s="3043">
        <v>4</v>
      </c>
    </row>
    <row r="203" spans="1:8">
      <c r="A203" s="2975">
        <v>197</v>
      </c>
      <c r="B203" s="3038" t="s">
        <v>3172</v>
      </c>
      <c r="C203" s="3039" t="str">
        <f t="shared" si="8"/>
        <v>3</v>
      </c>
      <c r="D203" s="3040" t="str">
        <f t="shared" si="9"/>
        <v>1</v>
      </c>
      <c r="E203" s="3040" t="s">
        <v>3653</v>
      </c>
      <c r="F203" s="3038" t="s">
        <v>3173</v>
      </c>
      <c r="G203" s="3040">
        <v>157.9</v>
      </c>
      <c r="H203" s="3043">
        <v>5</v>
      </c>
    </row>
    <row r="204" spans="1:8">
      <c r="A204" s="2975">
        <v>198</v>
      </c>
      <c r="B204" s="3038" t="s">
        <v>3172</v>
      </c>
      <c r="C204" s="3039" t="str">
        <f t="shared" si="8"/>
        <v>3</v>
      </c>
      <c r="D204" s="3040" t="str">
        <f t="shared" si="9"/>
        <v>1</v>
      </c>
      <c r="E204" s="3040" t="s">
        <v>3654</v>
      </c>
      <c r="F204" s="3038" t="s">
        <v>3173</v>
      </c>
      <c r="G204" s="3040">
        <v>121.88</v>
      </c>
      <c r="H204" s="3043">
        <v>5</v>
      </c>
    </row>
    <row r="205" spans="1:8">
      <c r="A205" s="2975">
        <v>199</v>
      </c>
      <c r="B205" s="3038" t="s">
        <v>3172</v>
      </c>
      <c r="C205" s="3039" t="str">
        <f t="shared" si="8"/>
        <v>3</v>
      </c>
      <c r="D205" s="3040" t="str">
        <f t="shared" si="9"/>
        <v>2</v>
      </c>
      <c r="E205" s="3040" t="s">
        <v>3655</v>
      </c>
      <c r="F205" s="3038" t="s">
        <v>3173</v>
      </c>
      <c r="G205" s="3040">
        <v>96.27</v>
      </c>
      <c r="H205" s="3043">
        <v>1</v>
      </c>
    </row>
    <row r="206" spans="1:8">
      <c r="A206" s="2975">
        <v>200</v>
      </c>
      <c r="B206" s="3038" t="s">
        <v>3172</v>
      </c>
      <c r="C206" s="3039" t="str">
        <f t="shared" si="8"/>
        <v>3</v>
      </c>
      <c r="D206" s="3040" t="str">
        <f t="shared" si="9"/>
        <v>2</v>
      </c>
      <c r="E206" s="3040" t="s">
        <v>3656</v>
      </c>
      <c r="F206" s="3038" t="s">
        <v>3173</v>
      </c>
      <c r="G206" s="3040">
        <v>96.64</v>
      </c>
      <c r="H206" s="3043">
        <v>1</v>
      </c>
    </row>
    <row r="207" spans="1:8">
      <c r="A207" s="2975">
        <v>201</v>
      </c>
      <c r="B207" s="3038" t="s">
        <v>3172</v>
      </c>
      <c r="C207" s="3039" t="str">
        <f t="shared" si="8"/>
        <v>3</v>
      </c>
      <c r="D207" s="3040" t="str">
        <f t="shared" si="9"/>
        <v>2</v>
      </c>
      <c r="E207" s="3040" t="s">
        <v>3657</v>
      </c>
      <c r="F207" s="3038" t="s">
        <v>3173</v>
      </c>
      <c r="G207" s="3040">
        <v>96.27</v>
      </c>
      <c r="H207" s="3043">
        <v>2</v>
      </c>
    </row>
    <row r="208" spans="1:8">
      <c r="A208" s="2975">
        <v>202</v>
      </c>
      <c r="B208" s="3038" t="s">
        <v>3172</v>
      </c>
      <c r="C208" s="3039" t="str">
        <f t="shared" si="8"/>
        <v>3</v>
      </c>
      <c r="D208" s="3040" t="str">
        <f t="shared" si="9"/>
        <v>2</v>
      </c>
      <c r="E208" s="3040" t="s">
        <v>3658</v>
      </c>
      <c r="F208" s="3038" t="s">
        <v>3173</v>
      </c>
      <c r="G208" s="3040">
        <v>96.27</v>
      </c>
      <c r="H208" s="3043">
        <v>3</v>
      </c>
    </row>
    <row r="209" spans="1:8">
      <c r="A209" s="2975">
        <v>203</v>
      </c>
      <c r="B209" s="3038" t="s">
        <v>3172</v>
      </c>
      <c r="C209" s="3039" t="str">
        <f t="shared" si="8"/>
        <v>3</v>
      </c>
      <c r="D209" s="3040" t="str">
        <f t="shared" si="9"/>
        <v>2</v>
      </c>
      <c r="E209" s="3040" t="s">
        <v>3659</v>
      </c>
      <c r="F209" s="3038" t="s">
        <v>3173</v>
      </c>
      <c r="G209" s="3040">
        <v>148.63999999999999</v>
      </c>
      <c r="H209" s="3043">
        <v>5</v>
      </c>
    </row>
    <row r="210" spans="1:8">
      <c r="A210" s="2975">
        <v>204</v>
      </c>
      <c r="B210" s="3038" t="s">
        <v>3172</v>
      </c>
      <c r="C210" s="3039" t="str">
        <f t="shared" si="8"/>
        <v>3</v>
      </c>
      <c r="D210" s="3040" t="str">
        <f t="shared" si="9"/>
        <v>2</v>
      </c>
      <c r="E210" s="3040" t="s">
        <v>3660</v>
      </c>
      <c r="F210" s="3038" t="s">
        <v>3173</v>
      </c>
      <c r="G210" s="3040">
        <v>157.9</v>
      </c>
      <c r="H210" s="3043">
        <v>5</v>
      </c>
    </row>
    <row r="211" spans="1:8">
      <c r="A211" s="2975">
        <v>205</v>
      </c>
      <c r="B211" s="3038" t="s">
        <v>3172</v>
      </c>
      <c r="C211" s="3039" t="str">
        <f t="shared" si="8"/>
        <v>3</v>
      </c>
      <c r="D211" s="3040" t="str">
        <f t="shared" si="9"/>
        <v>3</v>
      </c>
      <c r="E211" s="3040" t="s">
        <v>3661</v>
      </c>
      <c r="F211" s="3038" t="s">
        <v>3173</v>
      </c>
      <c r="G211" s="3040">
        <v>96.71</v>
      </c>
      <c r="H211" s="3043">
        <v>1</v>
      </c>
    </row>
    <row r="212" spans="1:8">
      <c r="A212" s="2975">
        <v>206</v>
      </c>
      <c r="B212" s="3038" t="s">
        <v>3172</v>
      </c>
      <c r="C212" s="3039" t="str">
        <f t="shared" si="8"/>
        <v>3</v>
      </c>
      <c r="D212" s="3040" t="str">
        <f t="shared" si="9"/>
        <v>3</v>
      </c>
      <c r="E212" s="3040" t="s">
        <v>3662</v>
      </c>
      <c r="F212" s="3038" t="s">
        <v>3173</v>
      </c>
      <c r="G212" s="3040">
        <v>96.64</v>
      </c>
      <c r="H212" s="3043">
        <v>1</v>
      </c>
    </row>
    <row r="213" spans="1:8">
      <c r="A213" s="2975">
        <v>207</v>
      </c>
      <c r="B213" s="3038" t="s">
        <v>3172</v>
      </c>
      <c r="C213" s="3039" t="str">
        <f t="shared" si="8"/>
        <v>3</v>
      </c>
      <c r="D213" s="3040" t="str">
        <f t="shared" si="9"/>
        <v>3</v>
      </c>
      <c r="E213" s="3040" t="s">
        <v>3663</v>
      </c>
      <c r="F213" s="3038" t="s">
        <v>3173</v>
      </c>
      <c r="G213" s="3040">
        <v>96.64</v>
      </c>
      <c r="H213" s="3043">
        <v>2</v>
      </c>
    </row>
    <row r="214" spans="1:8">
      <c r="A214" s="2975">
        <v>208</v>
      </c>
      <c r="B214" s="3038" t="s">
        <v>3172</v>
      </c>
      <c r="C214" s="3039" t="str">
        <f t="shared" si="8"/>
        <v>3</v>
      </c>
      <c r="D214" s="3040" t="str">
        <f t="shared" si="9"/>
        <v>3</v>
      </c>
      <c r="E214" s="3040" t="s">
        <v>3664</v>
      </c>
      <c r="F214" s="3038" t="s">
        <v>3173</v>
      </c>
      <c r="G214" s="3040">
        <v>96.64</v>
      </c>
      <c r="H214" s="3043">
        <v>4</v>
      </c>
    </row>
    <row r="215" spans="1:8">
      <c r="A215" s="2975">
        <v>209</v>
      </c>
      <c r="B215" s="3038" t="s">
        <v>3172</v>
      </c>
      <c r="C215" s="3039" t="str">
        <f t="shared" si="8"/>
        <v>3</v>
      </c>
      <c r="D215" s="3040" t="str">
        <f t="shared" si="9"/>
        <v>3</v>
      </c>
      <c r="E215" s="3040" t="s">
        <v>3665</v>
      </c>
      <c r="F215" s="3038" t="s">
        <v>3173</v>
      </c>
      <c r="G215" s="3040">
        <v>121.88</v>
      </c>
      <c r="H215" s="3043">
        <v>5</v>
      </c>
    </row>
    <row r="216" spans="1:8">
      <c r="A216" s="2975">
        <v>210</v>
      </c>
      <c r="B216" s="3038" t="s">
        <v>3172</v>
      </c>
      <c r="C216" s="3039" t="str">
        <f t="shared" si="8"/>
        <v>3</v>
      </c>
      <c r="D216" s="3040" t="str">
        <f t="shared" si="9"/>
        <v>3</v>
      </c>
      <c r="E216" s="3040" t="s">
        <v>3666</v>
      </c>
      <c r="F216" s="3038" t="s">
        <v>3173</v>
      </c>
      <c r="G216" s="3040">
        <v>150.35</v>
      </c>
      <c r="H216" s="3043">
        <v>5</v>
      </c>
    </row>
    <row r="217" spans="1:8">
      <c r="A217" s="2975">
        <v>211</v>
      </c>
      <c r="B217" s="3038" t="s">
        <v>3172</v>
      </c>
      <c r="C217" s="3039" t="str">
        <f t="shared" si="8"/>
        <v>4</v>
      </c>
      <c r="D217" s="3040" t="str">
        <f t="shared" si="9"/>
        <v>1</v>
      </c>
      <c r="E217" s="3040" t="s">
        <v>3667</v>
      </c>
      <c r="F217" s="3038" t="s">
        <v>3173</v>
      </c>
      <c r="G217" s="3040">
        <v>167.17</v>
      </c>
      <c r="H217" s="3043">
        <v>1</v>
      </c>
    </row>
    <row r="218" spans="1:8">
      <c r="A218" s="2975">
        <v>212</v>
      </c>
      <c r="B218" s="3038" t="s">
        <v>3172</v>
      </c>
      <c r="C218" s="3039" t="str">
        <f t="shared" si="8"/>
        <v>4</v>
      </c>
      <c r="D218" s="3040" t="str">
        <f t="shared" si="9"/>
        <v>1</v>
      </c>
      <c r="E218" s="3040" t="s">
        <v>3668</v>
      </c>
      <c r="F218" s="3038" t="s">
        <v>3173</v>
      </c>
      <c r="G218" s="3040">
        <v>141.63999999999999</v>
      </c>
      <c r="H218" s="3043">
        <v>1</v>
      </c>
    </row>
    <row r="219" spans="1:8">
      <c r="A219" s="2975">
        <v>213</v>
      </c>
      <c r="B219" s="3038" t="s">
        <v>3172</v>
      </c>
      <c r="C219" s="3039" t="str">
        <f t="shared" si="8"/>
        <v>4</v>
      </c>
      <c r="D219" s="3040" t="str">
        <f t="shared" si="9"/>
        <v>1</v>
      </c>
      <c r="E219" s="3040" t="s">
        <v>3669</v>
      </c>
      <c r="F219" s="3038" t="s">
        <v>3173</v>
      </c>
      <c r="G219" s="3040">
        <v>167.17</v>
      </c>
      <c r="H219" s="3043">
        <v>2</v>
      </c>
    </row>
    <row r="220" spans="1:8">
      <c r="A220" s="2975">
        <v>214</v>
      </c>
      <c r="B220" s="3038" t="s">
        <v>3172</v>
      </c>
      <c r="C220" s="3039" t="str">
        <f t="shared" si="8"/>
        <v>4</v>
      </c>
      <c r="D220" s="3040" t="str">
        <f t="shared" si="9"/>
        <v>1</v>
      </c>
      <c r="E220" s="3040" t="s">
        <v>3670</v>
      </c>
      <c r="F220" s="3038" t="s">
        <v>3173</v>
      </c>
      <c r="G220" s="3040">
        <v>167.17</v>
      </c>
      <c r="H220" s="3043">
        <v>4</v>
      </c>
    </row>
    <row r="221" spans="1:8">
      <c r="A221" s="2975">
        <v>215</v>
      </c>
      <c r="B221" s="3038" t="s">
        <v>3172</v>
      </c>
      <c r="C221" s="3039" t="str">
        <f t="shared" si="8"/>
        <v>4</v>
      </c>
      <c r="D221" s="3040" t="str">
        <f t="shared" si="9"/>
        <v>1</v>
      </c>
      <c r="E221" s="3040" t="s">
        <v>3671</v>
      </c>
      <c r="F221" s="3038" t="s">
        <v>3173</v>
      </c>
      <c r="G221" s="3040">
        <v>141.63999999999999</v>
      </c>
      <c r="H221" s="3043">
        <v>4</v>
      </c>
    </row>
    <row r="222" spans="1:8">
      <c r="A222" s="2975">
        <v>216</v>
      </c>
      <c r="B222" s="3038" t="s">
        <v>3172</v>
      </c>
      <c r="C222" s="3039" t="str">
        <f t="shared" si="8"/>
        <v>4</v>
      </c>
      <c r="D222" s="3040" t="str">
        <f t="shared" si="9"/>
        <v>1</v>
      </c>
      <c r="E222" s="3040" t="s">
        <v>3672</v>
      </c>
      <c r="F222" s="3038" t="s">
        <v>3173</v>
      </c>
      <c r="G222" s="3040">
        <v>259.24</v>
      </c>
      <c r="H222" s="3043">
        <v>5</v>
      </c>
    </row>
    <row r="223" spans="1:8">
      <c r="A223" s="2975">
        <v>217</v>
      </c>
      <c r="B223" s="3038" t="s">
        <v>3172</v>
      </c>
      <c r="C223" s="3039" t="str">
        <f t="shared" si="8"/>
        <v>4</v>
      </c>
      <c r="D223" s="3040" t="str">
        <f t="shared" si="9"/>
        <v>1</v>
      </c>
      <c r="E223" s="3040" t="s">
        <v>3673</v>
      </c>
      <c r="F223" s="3038" t="s">
        <v>3173</v>
      </c>
      <c r="G223" s="3040">
        <v>200.49</v>
      </c>
      <c r="H223" s="3043">
        <v>5</v>
      </c>
    </row>
    <row r="224" spans="1:8">
      <c r="A224" s="2975">
        <v>218</v>
      </c>
      <c r="B224" s="3038" t="s">
        <v>3172</v>
      </c>
      <c r="C224" s="3039" t="str">
        <f t="shared" si="8"/>
        <v>4</v>
      </c>
      <c r="D224" s="3040" t="str">
        <f t="shared" si="9"/>
        <v>2</v>
      </c>
      <c r="E224" s="3040" t="s">
        <v>3674</v>
      </c>
      <c r="F224" s="3038" t="s">
        <v>3173</v>
      </c>
      <c r="G224" s="3040">
        <v>141.63999999999999</v>
      </c>
      <c r="H224" s="3043">
        <v>1</v>
      </c>
    </row>
    <row r="225" spans="1:8">
      <c r="A225" s="2975">
        <v>219</v>
      </c>
      <c r="B225" s="3038" t="s">
        <v>3172</v>
      </c>
      <c r="C225" s="3039" t="str">
        <f t="shared" si="8"/>
        <v>4</v>
      </c>
      <c r="D225" s="3040" t="str">
        <f t="shared" si="9"/>
        <v>2</v>
      </c>
      <c r="E225" s="3040" t="s">
        <v>3675</v>
      </c>
      <c r="F225" s="3038" t="s">
        <v>3173</v>
      </c>
      <c r="G225" s="3040">
        <v>167.17</v>
      </c>
      <c r="H225" s="3043">
        <v>1</v>
      </c>
    </row>
    <row r="226" spans="1:8">
      <c r="A226" s="2975">
        <v>220</v>
      </c>
      <c r="B226" s="3038" t="s">
        <v>3172</v>
      </c>
      <c r="C226" s="3039" t="str">
        <f t="shared" si="8"/>
        <v>4</v>
      </c>
      <c r="D226" s="3040" t="str">
        <f t="shared" si="9"/>
        <v>2</v>
      </c>
      <c r="E226" s="3040" t="s">
        <v>3676</v>
      </c>
      <c r="F226" s="3038" t="s">
        <v>3173</v>
      </c>
      <c r="G226" s="3040">
        <v>167.17</v>
      </c>
      <c r="H226" s="3043">
        <v>3</v>
      </c>
    </row>
    <row r="227" spans="1:8">
      <c r="A227" s="2975">
        <v>221</v>
      </c>
      <c r="B227" s="3038" t="s">
        <v>3172</v>
      </c>
      <c r="C227" s="3039" t="str">
        <f t="shared" si="8"/>
        <v>4</v>
      </c>
      <c r="D227" s="3040" t="str">
        <f t="shared" si="9"/>
        <v>2</v>
      </c>
      <c r="E227" s="3040" t="s">
        <v>3677</v>
      </c>
      <c r="F227" s="3038" t="s">
        <v>3173</v>
      </c>
      <c r="G227" s="3040">
        <v>167.17</v>
      </c>
      <c r="H227" s="3043">
        <v>4</v>
      </c>
    </row>
    <row r="228" spans="1:8">
      <c r="A228" s="2975">
        <v>222</v>
      </c>
      <c r="B228" s="3038" t="s">
        <v>3172</v>
      </c>
      <c r="C228" s="3039" t="str">
        <f t="shared" si="8"/>
        <v>4</v>
      </c>
      <c r="D228" s="3040" t="str">
        <f t="shared" si="9"/>
        <v>2</v>
      </c>
      <c r="E228" s="3040" t="s">
        <v>3678</v>
      </c>
      <c r="F228" s="3038" t="s">
        <v>3173</v>
      </c>
      <c r="G228" s="3040">
        <v>200.49</v>
      </c>
      <c r="H228" s="3043">
        <v>5</v>
      </c>
    </row>
    <row r="229" spans="1:8">
      <c r="A229" s="2975">
        <v>223</v>
      </c>
      <c r="B229" s="3038" t="s">
        <v>3172</v>
      </c>
      <c r="C229" s="3039" t="str">
        <f t="shared" si="8"/>
        <v>4</v>
      </c>
      <c r="D229" s="3040" t="str">
        <f t="shared" si="9"/>
        <v>2</v>
      </c>
      <c r="E229" s="3040" t="s">
        <v>3679</v>
      </c>
      <c r="F229" s="3038" t="s">
        <v>3173</v>
      </c>
      <c r="G229" s="3040">
        <v>244.88</v>
      </c>
      <c r="H229" s="3043">
        <v>5</v>
      </c>
    </row>
    <row r="230" spans="1:8">
      <c r="A230" s="3045"/>
      <c r="B230" s="3045"/>
      <c r="C230" s="3045"/>
      <c r="D230" s="3045"/>
      <c r="E230" s="3045"/>
      <c r="F230" s="3045"/>
      <c r="G230" s="3046">
        <f>SUM(G6:G229)</f>
        <v>30847.100000000009</v>
      </c>
      <c r="H230" s="3037"/>
    </row>
  </sheetData>
  <mergeCells count="7">
    <mergeCell ref="G3:G5"/>
    <mergeCell ref="A3:A5"/>
    <mergeCell ref="B3:B5"/>
    <mergeCell ref="C3:C5"/>
    <mergeCell ref="D3:D5"/>
    <mergeCell ref="E3:E5"/>
    <mergeCell ref="F3:F5"/>
  </mergeCells>
  <phoneticPr fontId="143" type="noConversion"/>
  <conditionalFormatting sqref="E31">
    <cfRule type="duplicateValues" dxfId="200" priority="1"/>
    <cfRule type="duplicateValues" dxfId="199" priority="2"/>
    <cfRule type="duplicateValues" dxfId="198" priority="3"/>
  </conditionalFormatting>
  <conditionalFormatting sqref="E80">
    <cfRule type="duplicateValues" dxfId="197" priority="22"/>
  </conditionalFormatting>
  <conditionalFormatting sqref="E113">
    <cfRule type="duplicateValues" dxfId="196" priority="12"/>
    <cfRule type="duplicateValues" dxfId="195" priority="13"/>
  </conditionalFormatting>
  <conditionalFormatting sqref="E118">
    <cfRule type="duplicateValues" dxfId="194" priority="19"/>
  </conditionalFormatting>
  <conditionalFormatting sqref="E162">
    <cfRule type="duplicateValues" dxfId="193" priority="21"/>
  </conditionalFormatting>
  <conditionalFormatting sqref="E169">
    <cfRule type="duplicateValues" dxfId="192" priority="17"/>
  </conditionalFormatting>
  <conditionalFormatting sqref="E176">
    <cfRule type="duplicateValues" dxfId="191" priority="20"/>
  </conditionalFormatting>
  <conditionalFormatting sqref="E190">
    <cfRule type="duplicateValues" dxfId="190" priority="18"/>
  </conditionalFormatting>
  <conditionalFormatting sqref="E202">
    <cfRule type="duplicateValues" dxfId="189" priority="8"/>
    <cfRule type="duplicateValues" dxfId="188" priority="9"/>
    <cfRule type="duplicateValues" dxfId="187" priority="10"/>
  </conditionalFormatting>
  <conditionalFormatting sqref="E218">
    <cfRule type="duplicateValues" dxfId="186" priority="4"/>
    <cfRule type="duplicateValues" dxfId="185" priority="5"/>
    <cfRule type="duplicateValues" dxfId="184" priority="6"/>
  </conditionalFormatting>
  <conditionalFormatting sqref="E227">
    <cfRule type="duplicateValues" dxfId="183" priority="14"/>
    <cfRule type="duplicateValues" dxfId="182" priority="15"/>
  </conditionalFormatting>
  <conditionalFormatting sqref="E106:E133">
    <cfRule type="duplicateValues" dxfId="181" priority="7"/>
  </conditionalFormatting>
  <conditionalFormatting sqref="E81:E112 E114:E117 E163:E168 E177:E189 E119:E161 E191:E201 E228:E1048576 E170:E175 E203:E217 E219:E226 E1:E30 E32:E79">
    <cfRule type="duplicateValues" dxfId="180" priority="23"/>
  </conditionalFormatting>
  <conditionalFormatting sqref="E203:E217 E219:E1048576 E1:E30 E32:E201">
    <cfRule type="duplicateValues" dxfId="179" priority="11"/>
  </conditionalFormatting>
  <conditionalFormatting sqref="E114:E201 E228:E1048576 E203:E217 E219:E226 E1:E30 E32:E112">
    <cfRule type="duplicateValues" dxfId="178" priority="16"/>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5"/>
  <sheetViews>
    <sheetView topLeftCell="A13" workbookViewId="0">
      <selection activeCell="N46" sqref="N46"/>
    </sheetView>
  </sheetViews>
  <sheetFormatPr defaultRowHeight="13.5"/>
  <cols>
    <col min="1" max="1" width="9" style="3056"/>
    <col min="2" max="2" width="10.375" style="3056" bestFit="1" customWidth="1"/>
    <col min="3" max="4" width="9" style="3056"/>
    <col min="5" max="5" width="6.75" style="3056" customWidth="1"/>
    <col min="6" max="6" width="15.625" style="3056" customWidth="1"/>
    <col min="7" max="7" width="10" style="3056" customWidth="1"/>
    <col min="8" max="8" width="10.875" style="3056" customWidth="1"/>
    <col min="9" max="9" width="11.625" style="3056" bestFit="1" customWidth="1"/>
    <col min="10" max="10" width="9" style="3000"/>
    <col min="11" max="11" width="10.625" style="3000" bestFit="1" customWidth="1"/>
    <col min="12" max="16384" width="9" style="3000"/>
  </cols>
  <sheetData>
    <row r="1" spans="1:9" ht="14.25">
      <c r="A1" s="3048" t="s">
        <v>3680</v>
      </c>
      <c r="B1" s="3048"/>
      <c r="C1" s="3049"/>
      <c r="D1" s="3049"/>
      <c r="E1" s="3049"/>
      <c r="F1" s="3049"/>
      <c r="G1" s="3049"/>
      <c r="H1" s="3049">
        <f>'[3]汇莲美苑(B2)'!G2+'[3]汇莲馨苑(B1)'!G2+[3]商业!H2</f>
        <v>58283.400000000038</v>
      </c>
      <c r="I1" s="3049"/>
    </row>
    <row r="2" spans="1:9">
      <c r="A2" s="3198" t="s">
        <v>3681</v>
      </c>
      <c r="B2" s="3198" t="s">
        <v>3682</v>
      </c>
      <c r="C2" s="3198" t="s">
        <v>3441</v>
      </c>
      <c r="D2" s="3201" t="s">
        <v>3442</v>
      </c>
      <c r="E2" s="3198" t="s">
        <v>3443</v>
      </c>
      <c r="F2" s="3201" t="s">
        <v>3683</v>
      </c>
      <c r="G2" s="3201" t="s">
        <v>3445</v>
      </c>
      <c r="H2" s="3201" t="s">
        <v>3446</v>
      </c>
      <c r="I2" s="3050"/>
    </row>
    <row r="3" spans="1:9">
      <c r="A3" s="3199"/>
      <c r="B3" s="3199"/>
      <c r="C3" s="3199"/>
      <c r="D3" s="3202"/>
      <c r="E3" s="3199"/>
      <c r="F3" s="3202"/>
      <c r="G3" s="3202"/>
      <c r="H3" s="3202"/>
      <c r="I3" s="3201" t="s">
        <v>3684</v>
      </c>
    </row>
    <row r="4" spans="1:9">
      <c r="A4" s="3200"/>
      <c r="B4" s="3200"/>
      <c r="C4" s="3200"/>
      <c r="D4" s="3203"/>
      <c r="E4" s="3200"/>
      <c r="F4" s="3203"/>
      <c r="G4" s="3203"/>
      <c r="H4" s="3203"/>
      <c r="I4" s="3203"/>
    </row>
    <row r="5" spans="1:9">
      <c r="A5" s="3051">
        <v>1</v>
      </c>
      <c r="B5" s="3051" t="s">
        <v>3685</v>
      </c>
      <c r="C5" s="3051" t="s">
        <v>3172</v>
      </c>
      <c r="D5" s="3051" t="s">
        <v>3344</v>
      </c>
      <c r="E5" s="3051">
        <v>1</v>
      </c>
      <c r="F5" s="3051" t="s">
        <v>3686</v>
      </c>
      <c r="G5" s="3051" t="s">
        <v>3687</v>
      </c>
      <c r="H5" s="3051">
        <v>304.11</v>
      </c>
      <c r="I5" s="3052" t="s">
        <v>3688</v>
      </c>
    </row>
    <row r="6" spans="1:9">
      <c r="A6" s="3051">
        <v>2</v>
      </c>
      <c r="B6" s="3051" t="s">
        <v>3685</v>
      </c>
      <c r="C6" s="3051" t="s">
        <v>3172</v>
      </c>
      <c r="D6" s="3051" t="s">
        <v>3344</v>
      </c>
      <c r="E6" s="3051">
        <v>1</v>
      </c>
      <c r="F6" s="3051" t="s">
        <v>3689</v>
      </c>
      <c r="G6" s="3051" t="s">
        <v>3687</v>
      </c>
      <c r="H6" s="3051">
        <v>264.45</v>
      </c>
      <c r="I6" s="3052" t="s">
        <v>3688</v>
      </c>
    </row>
    <row r="7" spans="1:9">
      <c r="A7" s="3051">
        <v>3</v>
      </c>
      <c r="B7" s="3051" t="s">
        <v>3685</v>
      </c>
      <c r="C7" s="3051" t="s">
        <v>3172</v>
      </c>
      <c r="D7" s="3051" t="s">
        <v>3344</v>
      </c>
      <c r="E7" s="3051">
        <v>1</v>
      </c>
      <c r="F7" s="3051" t="s">
        <v>3690</v>
      </c>
      <c r="G7" s="3051" t="s">
        <v>3687</v>
      </c>
      <c r="H7" s="3051">
        <v>198.68</v>
      </c>
      <c r="I7" s="3052" t="s">
        <v>3688</v>
      </c>
    </row>
    <row r="8" spans="1:9">
      <c r="A8" s="3051">
        <v>4</v>
      </c>
      <c r="B8" s="3051" t="s">
        <v>3685</v>
      </c>
      <c r="C8" s="3051" t="s">
        <v>3172</v>
      </c>
      <c r="D8" s="3051" t="s">
        <v>3344</v>
      </c>
      <c r="E8" s="3051">
        <v>1</v>
      </c>
      <c r="F8" s="3051" t="s">
        <v>3691</v>
      </c>
      <c r="G8" s="3051" t="s">
        <v>3687</v>
      </c>
      <c r="H8" s="3051">
        <v>214.57</v>
      </c>
      <c r="I8" s="3052" t="s">
        <v>3688</v>
      </c>
    </row>
    <row r="9" spans="1:9">
      <c r="A9" s="3051">
        <v>5</v>
      </c>
      <c r="B9" s="3051" t="s">
        <v>3685</v>
      </c>
      <c r="C9" s="3051" t="s">
        <v>3172</v>
      </c>
      <c r="D9" s="3051" t="s">
        <v>3344</v>
      </c>
      <c r="E9" s="3051">
        <v>1</v>
      </c>
      <c r="F9" s="3051" t="s">
        <v>3692</v>
      </c>
      <c r="G9" s="3051" t="s">
        <v>3687</v>
      </c>
      <c r="H9" s="3051">
        <v>114.5</v>
      </c>
      <c r="I9" s="3052" t="s">
        <v>3688</v>
      </c>
    </row>
    <row r="10" spans="1:9">
      <c r="A10" s="3051">
        <v>6</v>
      </c>
      <c r="B10" s="3051" t="s">
        <v>3685</v>
      </c>
      <c r="C10" s="3051" t="s">
        <v>3172</v>
      </c>
      <c r="D10" s="3051" t="s">
        <v>3346</v>
      </c>
      <c r="E10" s="3051">
        <v>1</v>
      </c>
      <c r="F10" s="3051" t="s">
        <v>3693</v>
      </c>
      <c r="G10" s="3051" t="s">
        <v>3687</v>
      </c>
      <c r="H10" s="3051">
        <v>143.30000000000001</v>
      </c>
      <c r="I10" s="3052" t="s">
        <v>3688</v>
      </c>
    </row>
    <row r="11" spans="1:9">
      <c r="A11" s="3051">
        <v>7</v>
      </c>
      <c r="B11" s="3051" t="s">
        <v>3685</v>
      </c>
      <c r="C11" s="3051" t="s">
        <v>3172</v>
      </c>
      <c r="D11" s="3051" t="s">
        <v>3346</v>
      </c>
      <c r="E11" s="3051">
        <v>1</v>
      </c>
      <c r="F11" s="3051" t="s">
        <v>3694</v>
      </c>
      <c r="G11" s="3051" t="s">
        <v>3687</v>
      </c>
      <c r="H11" s="3051">
        <v>75.290000000000006</v>
      </c>
      <c r="I11" s="3052" t="s">
        <v>3695</v>
      </c>
    </row>
    <row r="12" spans="1:9">
      <c r="A12" s="3051">
        <v>8</v>
      </c>
      <c r="B12" s="3051" t="s">
        <v>3685</v>
      </c>
      <c r="C12" s="3051" t="s">
        <v>3172</v>
      </c>
      <c r="D12" s="3051" t="s">
        <v>3346</v>
      </c>
      <c r="E12" s="3051">
        <v>1</v>
      </c>
      <c r="F12" s="3051" t="s">
        <v>3696</v>
      </c>
      <c r="G12" s="3051" t="s">
        <v>3687</v>
      </c>
      <c r="H12" s="3051">
        <v>259.98</v>
      </c>
      <c r="I12" s="3052" t="s">
        <v>3688</v>
      </c>
    </row>
    <row r="13" spans="1:9">
      <c r="A13" s="3051">
        <v>9</v>
      </c>
      <c r="B13" s="3051" t="s">
        <v>3685</v>
      </c>
      <c r="C13" s="3051" t="s">
        <v>3172</v>
      </c>
      <c r="D13" s="3051" t="s">
        <v>3346</v>
      </c>
      <c r="E13" s="3051">
        <v>1</v>
      </c>
      <c r="F13" s="3051" t="s">
        <v>3697</v>
      </c>
      <c r="G13" s="3051" t="s">
        <v>3687</v>
      </c>
      <c r="H13" s="3051">
        <v>159.07</v>
      </c>
      <c r="I13" s="3052" t="s">
        <v>3688</v>
      </c>
    </row>
    <row r="14" spans="1:9">
      <c r="A14" s="3051">
        <v>10</v>
      </c>
      <c r="B14" s="3051" t="s">
        <v>3685</v>
      </c>
      <c r="C14" s="3051" t="s">
        <v>3172</v>
      </c>
      <c r="D14" s="3051" t="s">
        <v>3346</v>
      </c>
      <c r="E14" s="3051">
        <v>1</v>
      </c>
      <c r="F14" s="3051" t="s">
        <v>3698</v>
      </c>
      <c r="G14" s="3051" t="s">
        <v>3687</v>
      </c>
      <c r="H14" s="3051">
        <v>168.21</v>
      </c>
      <c r="I14" s="3052" t="s">
        <v>3688</v>
      </c>
    </row>
    <row r="15" spans="1:9">
      <c r="A15" s="3051">
        <v>11</v>
      </c>
      <c r="B15" s="3051" t="s">
        <v>3685</v>
      </c>
      <c r="C15" s="3051" t="s">
        <v>3172</v>
      </c>
      <c r="D15" s="3051" t="s">
        <v>3346</v>
      </c>
      <c r="E15" s="3051">
        <v>1</v>
      </c>
      <c r="F15" s="3051" t="s">
        <v>3699</v>
      </c>
      <c r="G15" s="3051" t="s">
        <v>3687</v>
      </c>
      <c r="H15" s="3051">
        <v>298.27999999999997</v>
      </c>
      <c r="I15" s="3052" t="s">
        <v>3688</v>
      </c>
    </row>
    <row r="16" spans="1:9">
      <c r="A16" s="3051">
        <v>12</v>
      </c>
      <c r="B16" s="3051" t="s">
        <v>3685</v>
      </c>
      <c r="C16" s="3051" t="s">
        <v>3172</v>
      </c>
      <c r="D16" s="3051" t="s">
        <v>3346</v>
      </c>
      <c r="E16" s="3051">
        <v>1</v>
      </c>
      <c r="F16" s="3051" t="s">
        <v>3700</v>
      </c>
      <c r="G16" s="3051" t="s">
        <v>3687</v>
      </c>
      <c r="H16" s="3051">
        <v>73.78</v>
      </c>
      <c r="I16" s="3052" t="s">
        <v>3695</v>
      </c>
    </row>
    <row r="17" spans="1:9">
      <c r="A17" s="3051">
        <v>13</v>
      </c>
      <c r="B17" s="3051" t="s">
        <v>3685</v>
      </c>
      <c r="C17" s="3051" t="s">
        <v>3172</v>
      </c>
      <c r="D17" s="3051" t="s">
        <v>3363</v>
      </c>
      <c r="E17" s="3051">
        <v>1</v>
      </c>
      <c r="F17" s="3051" t="s">
        <v>3701</v>
      </c>
      <c r="G17" s="3051" t="s">
        <v>3687</v>
      </c>
      <c r="H17" s="3051">
        <v>148.97999999999999</v>
      </c>
      <c r="I17" s="3052" t="s">
        <v>3688</v>
      </c>
    </row>
    <row r="18" spans="1:9">
      <c r="A18" s="3051">
        <v>14</v>
      </c>
      <c r="B18" s="3051" t="s">
        <v>3685</v>
      </c>
      <c r="C18" s="3051" t="s">
        <v>3172</v>
      </c>
      <c r="D18" s="3051" t="s">
        <v>3363</v>
      </c>
      <c r="E18" s="3051">
        <v>1</v>
      </c>
      <c r="F18" s="3051" t="s">
        <v>3702</v>
      </c>
      <c r="G18" s="3051" t="s">
        <v>3687</v>
      </c>
      <c r="H18" s="3051">
        <v>243.89</v>
      </c>
      <c r="I18" s="3052" t="s">
        <v>3688</v>
      </c>
    </row>
    <row r="19" spans="1:9">
      <c r="A19" s="3051">
        <v>15</v>
      </c>
      <c r="B19" s="3051" t="s">
        <v>3685</v>
      </c>
      <c r="C19" s="3051" t="s">
        <v>3172</v>
      </c>
      <c r="D19" s="3051" t="s">
        <v>3363</v>
      </c>
      <c r="E19" s="3051">
        <v>1</v>
      </c>
      <c r="F19" s="3051" t="s">
        <v>3703</v>
      </c>
      <c r="G19" s="3051" t="s">
        <v>3687</v>
      </c>
      <c r="H19" s="3051">
        <v>223.52</v>
      </c>
      <c r="I19" s="3052" t="s">
        <v>3688</v>
      </c>
    </row>
    <row r="20" spans="1:9">
      <c r="A20" s="3051">
        <v>16</v>
      </c>
      <c r="B20" s="3051" t="s">
        <v>3685</v>
      </c>
      <c r="C20" s="3051" t="s">
        <v>3172</v>
      </c>
      <c r="D20" s="3051" t="s">
        <v>3363</v>
      </c>
      <c r="E20" s="3051">
        <v>1</v>
      </c>
      <c r="F20" s="3051" t="s">
        <v>3704</v>
      </c>
      <c r="G20" s="3051" t="s">
        <v>3687</v>
      </c>
      <c r="H20" s="3051">
        <v>126.8</v>
      </c>
      <c r="I20" s="3052" t="s">
        <v>3688</v>
      </c>
    </row>
    <row r="21" spans="1:9">
      <c r="A21" s="3051">
        <v>17</v>
      </c>
      <c r="B21" s="3051" t="s">
        <v>3685</v>
      </c>
      <c r="C21" s="3051" t="s">
        <v>3172</v>
      </c>
      <c r="D21" s="3051" t="s">
        <v>3366</v>
      </c>
      <c r="E21" s="3051">
        <v>1</v>
      </c>
      <c r="F21" s="3051" t="s">
        <v>3705</v>
      </c>
      <c r="G21" s="3051" t="s">
        <v>3687</v>
      </c>
      <c r="H21" s="3051">
        <v>253.85</v>
      </c>
      <c r="I21" s="3052" t="s">
        <v>3688</v>
      </c>
    </row>
    <row r="22" spans="1:9">
      <c r="A22" s="3051">
        <v>18</v>
      </c>
      <c r="B22" s="3051" t="s">
        <v>3685</v>
      </c>
      <c r="C22" s="3051" t="s">
        <v>3172</v>
      </c>
      <c r="D22" s="3051" t="s">
        <v>3366</v>
      </c>
      <c r="E22" s="3051">
        <v>1</v>
      </c>
      <c r="F22" s="3051" t="s">
        <v>3706</v>
      </c>
      <c r="G22" s="3051" t="s">
        <v>3687</v>
      </c>
      <c r="H22" s="3051">
        <v>260.7</v>
      </c>
      <c r="I22" s="3052" t="s">
        <v>3688</v>
      </c>
    </row>
    <row r="23" spans="1:9">
      <c r="A23" s="3051">
        <v>19</v>
      </c>
      <c r="B23" s="3051" t="s">
        <v>3685</v>
      </c>
      <c r="C23" s="3051" t="s">
        <v>3172</v>
      </c>
      <c r="D23" s="3051" t="s">
        <v>3366</v>
      </c>
      <c r="E23" s="3051">
        <v>1</v>
      </c>
      <c r="F23" s="3051" t="s">
        <v>3707</v>
      </c>
      <c r="G23" s="3051" t="s">
        <v>3687</v>
      </c>
      <c r="H23" s="3051">
        <v>143.06</v>
      </c>
      <c r="I23" s="3052" t="s">
        <v>3688</v>
      </c>
    </row>
    <row r="24" spans="1:9">
      <c r="A24" s="3051">
        <v>20</v>
      </c>
      <c r="B24" s="3051" t="s">
        <v>3685</v>
      </c>
      <c r="C24" s="3051" t="s">
        <v>3172</v>
      </c>
      <c r="D24" s="3051" t="s">
        <v>3708</v>
      </c>
      <c r="E24" s="3051">
        <v>1</v>
      </c>
      <c r="F24" s="3051" t="s">
        <v>3709</v>
      </c>
      <c r="G24" s="3051" t="s">
        <v>3687</v>
      </c>
      <c r="H24" s="3051">
        <v>396.38</v>
      </c>
      <c r="I24" s="3052" t="s">
        <v>3688</v>
      </c>
    </row>
    <row r="25" spans="1:9">
      <c r="A25" s="3051">
        <v>21</v>
      </c>
      <c r="B25" s="3051" t="s">
        <v>3685</v>
      </c>
      <c r="C25" s="3051" t="s">
        <v>3172</v>
      </c>
      <c r="D25" s="3051" t="s">
        <v>3708</v>
      </c>
      <c r="E25" s="3051">
        <v>1</v>
      </c>
      <c r="F25" s="3051" t="s">
        <v>3710</v>
      </c>
      <c r="G25" s="3051" t="s">
        <v>3687</v>
      </c>
      <c r="H25" s="3051">
        <v>218.31</v>
      </c>
      <c r="I25" s="3052" t="s">
        <v>3688</v>
      </c>
    </row>
    <row r="26" spans="1:9">
      <c r="A26" s="3051">
        <v>22</v>
      </c>
      <c r="B26" s="3051" t="s">
        <v>3685</v>
      </c>
      <c r="C26" s="3051" t="s">
        <v>3172</v>
      </c>
      <c r="D26" s="3051" t="s">
        <v>3708</v>
      </c>
      <c r="E26" s="3051">
        <v>1</v>
      </c>
      <c r="F26" s="3051" t="s">
        <v>3711</v>
      </c>
      <c r="G26" s="3051" t="s">
        <v>3687</v>
      </c>
      <c r="H26" s="3051">
        <v>211.84</v>
      </c>
      <c r="I26" s="3052" t="s">
        <v>3688</v>
      </c>
    </row>
    <row r="27" spans="1:9">
      <c r="A27" s="3051">
        <v>23</v>
      </c>
      <c r="B27" s="3051" t="s">
        <v>3685</v>
      </c>
      <c r="C27" s="3051" t="s">
        <v>3172</v>
      </c>
      <c r="D27" s="3051" t="s">
        <v>3708</v>
      </c>
      <c r="E27" s="3051">
        <v>1</v>
      </c>
      <c r="F27" s="3051" t="s">
        <v>3712</v>
      </c>
      <c r="G27" s="3051" t="s">
        <v>3687</v>
      </c>
      <c r="H27" s="3051">
        <v>205.4</v>
      </c>
      <c r="I27" s="3052" t="s">
        <v>3688</v>
      </c>
    </row>
    <row r="28" spans="1:9">
      <c r="A28" s="3051">
        <v>24</v>
      </c>
      <c r="B28" s="3051" t="s">
        <v>3685</v>
      </c>
      <c r="C28" s="3051" t="s">
        <v>3172</v>
      </c>
      <c r="D28" s="3051" t="s">
        <v>3708</v>
      </c>
      <c r="E28" s="3051">
        <v>1</v>
      </c>
      <c r="F28" s="3051" t="s">
        <v>3713</v>
      </c>
      <c r="G28" s="3051" t="s">
        <v>3687</v>
      </c>
      <c r="H28" s="3051">
        <v>188.56</v>
      </c>
      <c r="I28" s="3052" t="s">
        <v>3688</v>
      </c>
    </row>
    <row r="29" spans="1:9">
      <c r="A29" s="3051">
        <v>25</v>
      </c>
      <c r="B29" s="3051" t="s">
        <v>3685</v>
      </c>
      <c r="C29" s="3051" t="s">
        <v>3172</v>
      </c>
      <c r="D29" s="3051" t="s">
        <v>3708</v>
      </c>
      <c r="E29" s="3051">
        <v>1</v>
      </c>
      <c r="F29" s="3051" t="s">
        <v>3714</v>
      </c>
      <c r="G29" s="3051" t="s">
        <v>3687</v>
      </c>
      <c r="H29" s="3051">
        <v>182.09</v>
      </c>
      <c r="I29" s="3052" t="s">
        <v>3688</v>
      </c>
    </row>
    <row r="30" spans="1:9">
      <c r="A30" s="3051">
        <v>26</v>
      </c>
      <c r="B30" s="3051" t="s">
        <v>3685</v>
      </c>
      <c r="C30" s="3051" t="s">
        <v>3172</v>
      </c>
      <c r="D30" s="3051" t="s">
        <v>3708</v>
      </c>
      <c r="E30" s="3051">
        <v>1</v>
      </c>
      <c r="F30" s="3053" t="s">
        <v>3715</v>
      </c>
      <c r="G30" s="3051" t="s">
        <v>3687</v>
      </c>
      <c r="H30" s="3051">
        <v>282.39</v>
      </c>
      <c r="I30" s="3052" t="s">
        <v>3688</v>
      </c>
    </row>
    <row r="31" spans="1:9">
      <c r="A31" s="3051">
        <v>27</v>
      </c>
      <c r="B31" s="3051" t="s">
        <v>3685</v>
      </c>
      <c r="C31" s="3051" t="s">
        <v>3172</v>
      </c>
      <c r="D31" s="3051" t="s">
        <v>3716</v>
      </c>
      <c r="E31" s="3051">
        <v>1</v>
      </c>
      <c r="F31" s="3051" t="s">
        <v>3717</v>
      </c>
      <c r="G31" s="3051" t="s">
        <v>3687</v>
      </c>
      <c r="H31" s="3051">
        <v>499.44</v>
      </c>
      <c r="I31" s="3052" t="s">
        <v>3688</v>
      </c>
    </row>
    <row r="32" spans="1:9">
      <c r="A32" s="3051">
        <v>28</v>
      </c>
      <c r="B32" s="3051" t="s">
        <v>3685</v>
      </c>
      <c r="C32" s="3051" t="s">
        <v>3172</v>
      </c>
      <c r="D32" s="3051" t="s">
        <v>3718</v>
      </c>
      <c r="E32" s="3051">
        <v>1</v>
      </c>
      <c r="F32" s="3051" t="s">
        <v>3719</v>
      </c>
      <c r="G32" s="3051" t="s">
        <v>3687</v>
      </c>
      <c r="H32" s="3051">
        <v>141.93</v>
      </c>
      <c r="I32" s="3052" t="s">
        <v>3688</v>
      </c>
    </row>
    <row r="33" spans="1:17">
      <c r="A33" s="3051">
        <v>29</v>
      </c>
      <c r="B33" s="3051" t="s">
        <v>3685</v>
      </c>
      <c r="C33" s="3051" t="s">
        <v>3172</v>
      </c>
      <c r="D33" s="3051" t="s">
        <v>3718</v>
      </c>
      <c r="E33" s="3051">
        <v>1</v>
      </c>
      <c r="F33" s="3051" t="s">
        <v>3720</v>
      </c>
      <c r="G33" s="3051" t="s">
        <v>3687</v>
      </c>
      <c r="H33" s="3051">
        <v>188.03</v>
      </c>
      <c r="I33" s="3052" t="s">
        <v>3688</v>
      </c>
    </row>
    <row r="34" spans="1:17">
      <c r="A34" s="3051">
        <v>30</v>
      </c>
      <c r="B34" s="3051" t="s">
        <v>3685</v>
      </c>
      <c r="C34" s="3051" t="s">
        <v>3172</v>
      </c>
      <c r="D34" s="3051" t="s">
        <v>3718</v>
      </c>
      <c r="E34" s="3051">
        <v>1</v>
      </c>
      <c r="F34" s="3051" t="s">
        <v>3721</v>
      </c>
      <c r="G34" s="3051" t="s">
        <v>3687</v>
      </c>
      <c r="H34" s="3051">
        <v>66.069999999999993</v>
      </c>
      <c r="I34" s="3052" t="s">
        <v>3695</v>
      </c>
    </row>
    <row r="35" spans="1:17">
      <c r="A35" s="3051">
        <v>31</v>
      </c>
      <c r="B35" s="3051" t="s">
        <v>3685</v>
      </c>
      <c r="C35" s="3051" t="s">
        <v>3172</v>
      </c>
      <c r="D35" s="3051" t="s">
        <v>3718</v>
      </c>
      <c r="E35" s="3051">
        <v>1</v>
      </c>
      <c r="F35" s="3051" t="s">
        <v>3722</v>
      </c>
      <c r="G35" s="3051" t="s">
        <v>3687</v>
      </c>
      <c r="H35" s="3051">
        <v>303.81</v>
      </c>
      <c r="I35" s="3052" t="s">
        <v>3688</v>
      </c>
    </row>
    <row r="36" spans="1:17">
      <c r="A36" s="3051">
        <v>32</v>
      </c>
      <c r="B36" s="3051" t="s">
        <v>3685</v>
      </c>
      <c r="C36" s="3051" t="s">
        <v>3172</v>
      </c>
      <c r="D36" s="3051" t="s">
        <v>3723</v>
      </c>
      <c r="E36" s="3051">
        <v>1</v>
      </c>
      <c r="F36" s="3051" t="s">
        <v>3724</v>
      </c>
      <c r="G36" s="3051" t="s">
        <v>3687</v>
      </c>
      <c r="H36" s="3051">
        <v>33.04</v>
      </c>
      <c r="I36" s="3052" t="s">
        <v>3695</v>
      </c>
    </row>
    <row r="37" spans="1:17">
      <c r="A37" s="3051">
        <v>33</v>
      </c>
      <c r="B37" s="3051" t="s">
        <v>3685</v>
      </c>
      <c r="C37" s="3051" t="s">
        <v>3172</v>
      </c>
      <c r="D37" s="3051" t="s">
        <v>3723</v>
      </c>
      <c r="E37" s="3051">
        <v>1</v>
      </c>
      <c r="F37" s="3051" t="s">
        <v>3725</v>
      </c>
      <c r="G37" s="3051" t="s">
        <v>3687</v>
      </c>
      <c r="H37" s="3051">
        <v>296.85000000000002</v>
      </c>
      <c r="I37" s="3052" t="s">
        <v>3688</v>
      </c>
    </row>
    <row r="38" spans="1:17">
      <c r="A38" s="3051">
        <v>34</v>
      </c>
      <c r="B38" s="3051" t="s">
        <v>3685</v>
      </c>
      <c r="C38" s="3051" t="s">
        <v>3172</v>
      </c>
      <c r="D38" s="3051" t="s">
        <v>3723</v>
      </c>
      <c r="E38" s="3051">
        <v>1</v>
      </c>
      <c r="F38" s="3051" t="s">
        <v>3726</v>
      </c>
      <c r="G38" s="3051" t="s">
        <v>3687</v>
      </c>
      <c r="H38" s="3051">
        <v>243.95</v>
      </c>
      <c r="I38" s="3052" t="s">
        <v>3688</v>
      </c>
    </row>
    <row r="39" spans="1:17">
      <c r="A39" s="3051">
        <v>35</v>
      </c>
      <c r="B39" s="3051" t="s">
        <v>3685</v>
      </c>
      <c r="C39" s="3051" t="s">
        <v>3172</v>
      </c>
      <c r="D39" s="3051" t="s">
        <v>3723</v>
      </c>
      <c r="E39" s="3051">
        <v>1</v>
      </c>
      <c r="F39" s="3051" t="s">
        <v>3727</v>
      </c>
      <c r="G39" s="3051" t="s">
        <v>3687</v>
      </c>
      <c r="H39" s="3051">
        <v>35.14</v>
      </c>
      <c r="I39" s="3052" t="s">
        <v>3695</v>
      </c>
    </row>
    <row r="40" spans="1:17">
      <c r="A40" s="3051">
        <v>36</v>
      </c>
      <c r="B40" s="3051" t="s">
        <v>3685</v>
      </c>
      <c r="C40" s="3051" t="s">
        <v>3172</v>
      </c>
      <c r="D40" s="3051" t="s">
        <v>3723</v>
      </c>
      <c r="E40" s="3051">
        <v>1</v>
      </c>
      <c r="F40" s="3051" t="s">
        <v>3728</v>
      </c>
      <c r="G40" s="3051" t="s">
        <v>3687</v>
      </c>
      <c r="H40" s="3051">
        <v>190.99</v>
      </c>
      <c r="I40" s="3052" t="s">
        <v>3688</v>
      </c>
      <c r="M40" s="3054" t="s">
        <v>3320</v>
      </c>
      <c r="N40" s="3054" t="s">
        <v>3437</v>
      </c>
    </row>
    <row r="41" spans="1:17">
      <c r="A41" s="3055"/>
      <c r="B41" s="3055"/>
      <c r="C41" s="3055"/>
      <c r="D41" s="3055"/>
      <c r="E41" s="3055"/>
      <c r="F41" s="3055"/>
      <c r="G41" s="3055"/>
      <c r="H41" s="3055"/>
      <c r="I41" s="3055"/>
    </row>
    <row r="42" spans="1:17">
      <c r="H42" s="3056">
        <f>SUBTOTAL(9,H5:H41)</f>
        <v>7359.2400000000007</v>
      </c>
      <c r="L42" s="3054" t="s">
        <v>3695</v>
      </c>
      <c r="M42" s="3000">
        <f>H11+H16+H34+H36+H39</f>
        <v>283.32</v>
      </c>
      <c r="N42" s="3000">
        <v>4</v>
      </c>
      <c r="P42" s="3054" t="s">
        <v>3695</v>
      </c>
      <c r="Q42" s="3000">
        <v>1</v>
      </c>
    </row>
    <row r="43" spans="1:17">
      <c r="J43" s="3054" t="s">
        <v>3729</v>
      </c>
      <c r="K43" s="3000">
        <v>7359.24</v>
      </c>
      <c r="L43" s="3054" t="s">
        <v>3730</v>
      </c>
      <c r="M43" s="3000">
        <f>K43-M42</f>
        <v>7075.92</v>
      </c>
      <c r="N43" s="3000">
        <f>N42*Q43</f>
        <v>3.4</v>
      </c>
      <c r="P43" s="3054" t="s">
        <v>3730</v>
      </c>
      <c r="Q43" s="3000">
        <f>(Q42+Q44)/2</f>
        <v>0.85</v>
      </c>
    </row>
    <row r="44" spans="1:17">
      <c r="M44" s="3000">
        <f>M42+M43</f>
        <v>7359.24</v>
      </c>
      <c r="N44" s="3000">
        <f>ROUND((N42*M42+N43*M43)/M44,2)</f>
        <v>3.42</v>
      </c>
      <c r="P44" s="3054" t="s">
        <v>3731</v>
      </c>
      <c r="Q44" s="3000">
        <v>0.7</v>
      </c>
    </row>
    <row r="47" spans="1:17">
      <c r="K47" s="3000">
        <f>[1]系统读取表!B1-[1]系统读取表!B19-[1]系统读取表!B18</f>
        <v>191540.65000000002</v>
      </c>
    </row>
    <row r="56" spans="7:17" ht="49.5">
      <c r="H56" s="1740" t="s">
        <v>3732</v>
      </c>
      <c r="I56" s="1740" t="s">
        <v>3733</v>
      </c>
      <c r="J56" s="1740" t="s">
        <v>3734</v>
      </c>
      <c r="K56" s="1742" t="s">
        <v>3735</v>
      </c>
      <c r="L56" s="1742" t="s">
        <v>3736</v>
      </c>
    </row>
    <row r="57" spans="7:17" ht="16.5">
      <c r="H57" s="1740">
        <v>38206.339999999997</v>
      </c>
      <c r="I57" s="1740">
        <v>13491.73</v>
      </c>
      <c r="J57" s="1740">
        <f>[1]系统读取表!D14</f>
        <v>65452</v>
      </c>
      <c r="K57" s="1740"/>
      <c r="L57" s="1740"/>
    </row>
    <row r="58" spans="7:17" ht="16.5">
      <c r="H58" s="3057">
        <v>76469.600000000006</v>
      </c>
      <c r="I58" s="3057">
        <v>19117.599999999999</v>
      </c>
      <c r="J58" s="1740">
        <f>[1]系统读取表!D15</f>
        <v>88886</v>
      </c>
      <c r="K58" s="1740"/>
      <c r="L58" s="1740"/>
    </row>
    <row r="59" spans="7:17" ht="16.5">
      <c r="H59" s="3057">
        <v>57036.04</v>
      </c>
      <c r="I59" s="3057">
        <v>19667.8</v>
      </c>
      <c r="J59" s="1740">
        <f>[1]系统读取表!D16</f>
        <v>68174</v>
      </c>
      <c r="K59" s="1740"/>
      <c r="L59" s="1740"/>
    </row>
    <row r="60" spans="7:17" ht="16.5">
      <c r="H60" s="3057">
        <v>19828.670000000013</v>
      </c>
      <c r="I60" s="3057">
        <v>6356.69</v>
      </c>
      <c r="J60" s="1740">
        <f>[1]系统读取表!D17</f>
        <v>34986</v>
      </c>
      <c r="K60" s="1740"/>
      <c r="L60" s="1740"/>
    </row>
    <row r="61" spans="7:17" ht="16.5">
      <c r="H61" s="3057"/>
      <c r="I61" s="3057">
        <v>0</v>
      </c>
      <c r="J61" s="1740">
        <f>[1]系统读取表!D18</f>
        <v>80870</v>
      </c>
      <c r="K61" s="1740"/>
      <c r="L61" s="1740"/>
    </row>
    <row r="62" spans="7:17" ht="16.5">
      <c r="H62" s="3057"/>
      <c r="I62" s="3057"/>
      <c r="J62" s="1740">
        <f>[1]系统读取表!D19</f>
        <v>51</v>
      </c>
      <c r="K62" s="1740"/>
      <c r="L62" s="1740"/>
    </row>
    <row r="64" spans="7:17">
      <c r="G64" s="3056" t="s">
        <v>3325</v>
      </c>
      <c r="H64" s="3056">
        <f>H57</f>
        <v>38206.339999999997</v>
      </c>
      <c r="I64" s="3056">
        <f>I57</f>
        <v>13491.73</v>
      </c>
      <c r="J64" s="3000">
        <f>J57+J61</f>
        <v>146322</v>
      </c>
      <c r="K64" s="3000">
        <f>ROUND(J64/H64*10000,0)</f>
        <v>38298</v>
      </c>
      <c r="M64" s="3000">
        <f>J64</f>
        <v>146322</v>
      </c>
      <c r="N64" s="3000">
        <f>J65</f>
        <v>35037</v>
      </c>
      <c r="O64" s="3000">
        <f>J66</f>
        <v>88886</v>
      </c>
      <c r="P64" s="3000">
        <f>J67</f>
        <v>68174</v>
      </c>
      <c r="Q64" s="3000">
        <f>SUM(M64:P64)</f>
        <v>338419</v>
      </c>
    </row>
    <row r="65" spans="6:16">
      <c r="G65" s="3056" t="s">
        <v>3326</v>
      </c>
      <c r="H65" s="3056">
        <f>H60</f>
        <v>19828.670000000013</v>
      </c>
      <c r="I65" s="3056">
        <f>I60</f>
        <v>6356.69</v>
      </c>
      <c r="J65" s="3000">
        <f>J60+J62</f>
        <v>35037</v>
      </c>
      <c r="K65" s="3000">
        <f>ROUND(J65/H65*10000,0)</f>
        <v>17670</v>
      </c>
      <c r="M65" s="3000">
        <f>K64</f>
        <v>38298</v>
      </c>
      <c r="N65" s="3000">
        <f>K65</f>
        <v>17670</v>
      </c>
      <c r="O65" s="3000">
        <f>K66</f>
        <v>11624</v>
      </c>
      <c r="P65" s="3000">
        <f>K67</f>
        <v>11953</v>
      </c>
    </row>
    <row r="66" spans="6:16">
      <c r="G66" s="3056" t="s">
        <v>3329</v>
      </c>
      <c r="H66" s="3056">
        <f t="shared" ref="H66:I67" si="0">H58</f>
        <v>76469.600000000006</v>
      </c>
      <c r="I66" s="3056">
        <f t="shared" si="0"/>
        <v>19117.599999999999</v>
      </c>
      <c r="J66" s="3000">
        <f>J58</f>
        <v>88886</v>
      </c>
      <c r="K66" s="3000">
        <f>ROUND(J66/H66*10000,0)</f>
        <v>11624</v>
      </c>
    </row>
    <row r="67" spans="6:16">
      <c r="G67" s="3056" t="s">
        <v>3330</v>
      </c>
      <c r="H67" s="3056">
        <f t="shared" si="0"/>
        <v>57036.04</v>
      </c>
      <c r="I67" s="3056">
        <f t="shared" si="0"/>
        <v>19667.8</v>
      </c>
      <c r="J67" s="3000">
        <f>J59</f>
        <v>68174</v>
      </c>
      <c r="K67" s="3000">
        <f>ROUND(J67/H67*10000,0)</f>
        <v>11953</v>
      </c>
    </row>
    <row r="68" spans="6:16">
      <c r="H68" s="3056">
        <f>SUBTOTAL(9,H64:H67)</f>
        <v>191540.65000000002</v>
      </c>
      <c r="I68" s="3056">
        <f>SUBTOTAL(9,I64:I67)</f>
        <v>58633.819999999992</v>
      </c>
      <c r="J68" s="3000">
        <f>SUBTOTAL(9,J64:J67)</f>
        <v>338419</v>
      </c>
    </row>
    <row r="70" spans="6:16" ht="14.25" thickBot="1"/>
    <row r="71" spans="6:16" ht="25.5" customHeight="1" thickTop="1">
      <c r="F71" s="3204" t="s">
        <v>3737</v>
      </c>
      <c r="G71" s="3204" t="s">
        <v>3738</v>
      </c>
      <c r="H71" s="3204" t="s">
        <v>3739</v>
      </c>
      <c r="I71" s="3206" t="s">
        <v>3740</v>
      </c>
      <c r="J71" s="3208" t="s">
        <v>3741</v>
      </c>
      <c r="K71" s="3209"/>
      <c r="L71" s="3208" t="s">
        <v>3742</v>
      </c>
      <c r="M71" s="3209"/>
      <c r="N71" s="3208" t="s">
        <v>3743</v>
      </c>
      <c r="O71" s="3209"/>
    </row>
    <row r="72" spans="6:16">
      <c r="F72" s="3205"/>
      <c r="G72" s="3205"/>
      <c r="H72" s="3205"/>
      <c r="I72" s="3207"/>
      <c r="J72" s="3058" t="s">
        <v>3744</v>
      </c>
      <c r="K72" s="3058" t="s">
        <v>3745</v>
      </c>
      <c r="L72" s="3058" t="s">
        <v>3746</v>
      </c>
      <c r="M72" s="3058" t="s">
        <v>3745</v>
      </c>
      <c r="N72" s="3058" t="s">
        <v>3746</v>
      </c>
      <c r="O72" s="3058" t="s">
        <v>3745</v>
      </c>
    </row>
    <row r="73" spans="6:16" ht="76.5">
      <c r="F73" s="3059" t="s">
        <v>3747</v>
      </c>
      <c r="G73" s="3060">
        <v>38206.339999999997</v>
      </c>
      <c r="H73" s="3060">
        <v>229.01</v>
      </c>
      <c r="I73" s="3060">
        <v>13491.73</v>
      </c>
      <c r="J73" s="3060">
        <f>[1]系统读取表!D14</f>
        <v>65452</v>
      </c>
      <c r="K73" s="3060">
        <f>ROUND(J73/G73*10000,0)</f>
        <v>17131</v>
      </c>
      <c r="L73" s="3060">
        <f>[1]系统读取表!D18</f>
        <v>80870</v>
      </c>
      <c r="M73" s="3060" t="s">
        <v>3748</v>
      </c>
      <c r="N73" s="3060">
        <f>J73+L73</f>
        <v>146322</v>
      </c>
      <c r="O73" s="3060">
        <f>K64</f>
        <v>38298</v>
      </c>
    </row>
    <row r="74" spans="6:16" ht="76.5">
      <c r="F74" s="3059" t="s">
        <v>3749</v>
      </c>
      <c r="G74" s="3060">
        <v>19828.669999999998</v>
      </c>
      <c r="H74" s="3060">
        <v>215.05</v>
      </c>
      <c r="I74" s="3060">
        <v>6356.69</v>
      </c>
      <c r="J74" s="3061">
        <f>[1]系统读取表!D17</f>
        <v>34986</v>
      </c>
      <c r="K74" s="3060">
        <f>ROUND(J74/G74*10000,0)</f>
        <v>17644</v>
      </c>
      <c r="L74" s="3060">
        <f>[1]系统读取表!D19</f>
        <v>51</v>
      </c>
      <c r="M74" s="3060" t="s">
        <v>3748</v>
      </c>
      <c r="N74" s="3060">
        <f>J65</f>
        <v>35037</v>
      </c>
      <c r="O74" s="3060">
        <f>K65</f>
        <v>17670</v>
      </c>
    </row>
    <row r="75" spans="6:16" ht="51">
      <c r="F75" s="3059" t="s">
        <v>3750</v>
      </c>
      <c r="G75" s="3060">
        <v>76469.600000000006</v>
      </c>
      <c r="H75" s="3060">
        <v>0</v>
      </c>
      <c r="I75" s="3060">
        <v>19117.599999999999</v>
      </c>
      <c r="J75" s="3060">
        <f>[1]系统读取表!D15</f>
        <v>88886</v>
      </c>
      <c r="K75" s="3060">
        <f t="shared" ref="K75:K76" si="1">ROUND(J75/G75*10000,0)</f>
        <v>11624</v>
      </c>
      <c r="L75" s="3060">
        <v>0</v>
      </c>
      <c r="M75" s="3060">
        <v>0</v>
      </c>
      <c r="N75" s="3060">
        <f>J75</f>
        <v>88886</v>
      </c>
      <c r="O75" s="3060">
        <f>K75</f>
        <v>11624</v>
      </c>
    </row>
    <row r="76" spans="6:16" ht="51">
      <c r="F76" s="3059" t="s">
        <v>3751</v>
      </c>
      <c r="G76" s="3060">
        <v>57036.04</v>
      </c>
      <c r="H76" s="3060">
        <v>0</v>
      </c>
      <c r="I76" s="3060">
        <v>19667.8</v>
      </c>
      <c r="J76" s="3060">
        <f>[1]系统读取表!D16</f>
        <v>68174</v>
      </c>
      <c r="K76" s="3060">
        <f t="shared" si="1"/>
        <v>11953</v>
      </c>
      <c r="L76" s="3060">
        <v>0</v>
      </c>
      <c r="M76" s="3060">
        <v>0</v>
      </c>
      <c r="N76" s="3060">
        <f>J76</f>
        <v>68174</v>
      </c>
      <c r="O76" s="3060">
        <f>K76</f>
        <v>11953</v>
      </c>
    </row>
    <row r="77" spans="6:16">
      <c r="F77" s="3059" t="s">
        <v>37</v>
      </c>
      <c r="G77" s="3060">
        <v>191540.65</v>
      </c>
      <c r="H77" s="3060">
        <v>444.06</v>
      </c>
      <c r="I77" s="3060">
        <v>58633.82</v>
      </c>
      <c r="J77" s="3210">
        <f>SUBTOTAL(9,J73:J76)</f>
        <v>257498</v>
      </c>
      <c r="K77" s="3211"/>
      <c r="L77" s="3210">
        <f>SUBTOTAL(9,L73:L76)</f>
        <v>80921</v>
      </c>
      <c r="M77" s="3211"/>
      <c r="N77" s="3210">
        <f>SUBTOTAL(9,N73:N76)</f>
        <v>338419</v>
      </c>
      <c r="O77" s="3211"/>
    </row>
    <row r="78" spans="6:16">
      <c r="F78" s="3212" t="s">
        <v>3752</v>
      </c>
      <c r="G78" s="3213"/>
      <c r="H78" s="3213"/>
      <c r="I78" s="3214"/>
      <c r="J78" s="3215">
        <f>J77*10000</f>
        <v>2574980000</v>
      </c>
      <c r="K78" s="3216"/>
      <c r="L78" s="3215">
        <f>L77*10000</f>
        <v>809210000</v>
      </c>
      <c r="M78" s="3216"/>
      <c r="N78" s="3215">
        <f>N77*10000</f>
        <v>3384190000</v>
      </c>
      <c r="O78" s="3216"/>
    </row>
    <row r="79" spans="6:16">
      <c r="F79" s="3217" t="s">
        <v>3753</v>
      </c>
      <c r="G79" s="3218"/>
      <c r="H79" s="3218"/>
      <c r="I79" s="3219"/>
      <c r="J79" s="3210">
        <v>0</v>
      </c>
      <c r="K79" s="3220"/>
      <c r="L79" s="3220"/>
      <c r="M79" s="3220"/>
      <c r="N79" s="3220"/>
      <c r="O79" s="3211"/>
    </row>
    <row r="80" spans="6:16">
      <c r="F80" s="3212" t="s">
        <v>3752</v>
      </c>
      <c r="G80" s="3213"/>
      <c r="H80" s="3213"/>
      <c r="I80" s="3214"/>
      <c r="J80" s="3212" t="s">
        <v>3754</v>
      </c>
      <c r="K80" s="3213"/>
      <c r="L80" s="3213"/>
      <c r="M80" s="3213"/>
      <c r="N80" s="3213"/>
      <c r="O80" s="3214"/>
    </row>
    <row r="81" spans="6:15">
      <c r="F81" s="3217" t="s">
        <v>3755</v>
      </c>
      <c r="G81" s="3218"/>
      <c r="H81" s="3218"/>
      <c r="I81" s="3219"/>
      <c r="J81" s="3210"/>
      <c r="K81" s="3220"/>
      <c r="L81" s="3220"/>
      <c r="M81" s="3220"/>
      <c r="N81" s="3220"/>
      <c r="O81" s="3211"/>
    </row>
    <row r="82" spans="6:15">
      <c r="F82" s="3212" t="s">
        <v>3752</v>
      </c>
      <c r="G82" s="3213"/>
      <c r="H82" s="3213"/>
      <c r="I82" s="3214"/>
      <c r="J82" s="3210"/>
      <c r="K82" s="3220"/>
      <c r="L82" s="3220"/>
      <c r="M82" s="3220"/>
      <c r="N82" s="3220"/>
      <c r="O82" s="3211"/>
    </row>
    <row r="83" spans="6:15">
      <c r="F83" s="3217" t="s">
        <v>1281</v>
      </c>
      <c r="G83" s="3218"/>
      <c r="H83" s="3218"/>
      <c r="I83" s="3219"/>
      <c r="J83" s="3210">
        <f>[1]系统读取表!B8</f>
        <v>243613</v>
      </c>
      <c r="K83" s="3220"/>
      <c r="L83" s="3220"/>
      <c r="M83" s="3220"/>
      <c r="N83" s="3220"/>
      <c r="O83" s="3211"/>
    </row>
    <row r="84" spans="6:15" ht="14.25" thickBot="1">
      <c r="F84" s="3221" t="s">
        <v>3752</v>
      </c>
      <c r="G84" s="3222"/>
      <c r="H84" s="3222"/>
      <c r="I84" s="3223"/>
      <c r="J84" s="3224">
        <f>J83*10000</f>
        <v>2436130000</v>
      </c>
      <c r="K84" s="3225"/>
      <c r="L84" s="3225"/>
      <c r="M84" s="3225"/>
      <c r="N84" s="3225"/>
      <c r="O84" s="3226"/>
    </row>
    <row r="85" spans="6:15" ht="14.25" thickTop="1">
      <c r="F85" s="3227" t="s">
        <v>3756</v>
      </c>
      <c r="G85" s="3227"/>
      <c r="H85" s="3227"/>
      <c r="I85" s="3227"/>
      <c r="J85" s="3227"/>
      <c r="K85" s="3227"/>
      <c r="L85" s="3227"/>
      <c r="M85" s="3227"/>
      <c r="N85" s="3227"/>
      <c r="O85" s="3227"/>
    </row>
  </sheetData>
  <mergeCells count="36">
    <mergeCell ref="F83:I83"/>
    <mergeCell ref="J83:O83"/>
    <mergeCell ref="F84:I84"/>
    <mergeCell ref="J84:O84"/>
    <mergeCell ref="F85:O85"/>
    <mergeCell ref="F80:I80"/>
    <mergeCell ref="J80:O80"/>
    <mergeCell ref="F81:I81"/>
    <mergeCell ref="J81:O81"/>
    <mergeCell ref="F82:I82"/>
    <mergeCell ref="J82:O82"/>
    <mergeCell ref="F78:I78"/>
    <mergeCell ref="J78:K78"/>
    <mergeCell ref="L78:M78"/>
    <mergeCell ref="N78:O78"/>
    <mergeCell ref="F79:I79"/>
    <mergeCell ref="J79:O79"/>
    <mergeCell ref="J71:K71"/>
    <mergeCell ref="L71:M71"/>
    <mergeCell ref="N71:O71"/>
    <mergeCell ref="J77:K77"/>
    <mergeCell ref="L77:M77"/>
    <mergeCell ref="N77:O77"/>
    <mergeCell ref="G2:G4"/>
    <mergeCell ref="H2:H4"/>
    <mergeCell ref="I3:I4"/>
    <mergeCell ref="F71:F72"/>
    <mergeCell ref="G71:G72"/>
    <mergeCell ref="H71:H72"/>
    <mergeCell ref="I71:I72"/>
    <mergeCell ref="F2:F4"/>
    <mergeCell ref="A2:A4"/>
    <mergeCell ref="B2:B4"/>
    <mergeCell ref="C2:C4"/>
    <mergeCell ref="D2:D4"/>
    <mergeCell ref="E2:E4"/>
  </mergeCells>
  <phoneticPr fontId="143" type="noConversion"/>
  <conditionalFormatting sqref="C1:D1">
    <cfRule type="duplicateValues" dxfId="177" priority="4"/>
  </conditionalFormatting>
  <conditionalFormatting sqref="D1:E1">
    <cfRule type="duplicateValues" dxfId="176" priority="2"/>
    <cfRule type="duplicateValues" dxfId="175" priority="3"/>
  </conditionalFormatting>
  <conditionalFormatting sqref="F1">
    <cfRule type="duplicateValues" dxfId="174" priority="1"/>
  </conditionalFormatting>
  <conditionalFormatting sqref="C2:E2">
    <cfRule type="containsText" dxfId="173" priority="6" operator="containsText" text="状态   已售/未售">
      <formula>NOT(ISERROR(SEARCH("状态   已售/未售",C2)))</formula>
    </cfRule>
  </conditionalFormatting>
  <conditionalFormatting sqref="D2:E2">
    <cfRule type="containsText" dxfId="172" priority="5" operator="containsText" text="状态   已售/未售">
      <formula>NOT(ISERROR(SEARCH("状态   已售/未售",D2)))</formula>
    </cfRule>
  </conditionalFormatting>
  <conditionalFormatting sqref="F2">
    <cfRule type="duplicateValues" dxfId="171" priority="7"/>
  </conditionalFormatting>
  <conditionalFormatting sqref="C2:D2">
    <cfRule type="duplicateValues" dxfId="170" priority="8"/>
  </conditionalFormatting>
  <conditionalFormatting sqref="D2:E2">
    <cfRule type="duplicateValues" dxfId="169" priority="9"/>
    <cfRule type="duplicateValues" dxfId="168" priority="10"/>
  </conditionalFormatting>
  <conditionalFormatting sqref="F2">
    <cfRule type="duplicateValues" dxfId="167" priority="11"/>
  </conditionalFormatting>
  <conditionalFormatting sqref="E2">
    <cfRule type="expression" dxfId="166" priority="12" stopIfTrue="1">
      <formula>AND(COUNTIF(#REF!,E2)+COUNTIF($E$2:$E$913,E2)&gt;1,NOT(ISBLANK(E2)))</formula>
    </cfRule>
    <cfRule type="expression" dxfId="165" priority="13" stopIfTrue="1">
      <formula>AND(COUNTIF(#REF!,E2)+COUNTIF($E$2:$E$913,E2)&gt;1,NOT(ISBLANK(E2)))</formula>
    </cfRule>
    <cfRule type="duplicateValues" dxfId="164" priority="14"/>
    <cfRule type="expression" dxfId="163" priority="15" stopIfTrue="1">
      <formula>AND(COUNTIF($E:$E,E2)&gt;1,NOT(ISBLANK(E2)))</formula>
    </cfRule>
    <cfRule type="expression" dxfId="162" priority="16" stopIfTrue="1">
      <formula>AND(COUNTIF($E:$E,E2)&gt;1,NOT(ISBLANK(E2)))</formula>
    </cfRule>
  </conditionalFormatting>
  <conditionalFormatting sqref="E1">
    <cfRule type="expression" dxfId="161" priority="17" stopIfTrue="1">
      <formula>AND(COUNTIF(#REF!,E1)+COUNTIF($E$1:$E$912,E1)&gt;1,NOT(ISBLANK(E1)))</formula>
    </cfRule>
    <cfRule type="expression" dxfId="160" priority="18" stopIfTrue="1">
      <formula>AND(COUNTIF(#REF!,E1)+COUNTIF($E$1:$E$912,E1)&gt;1,NOT(ISBLANK(E1)))</formula>
    </cfRule>
    <cfRule type="duplicateValues" dxfId="159" priority="19"/>
    <cfRule type="expression" dxfId="158" priority="20" stopIfTrue="1">
      <formula>AND(COUNTIF($E:$E,E1)&gt;1,NOT(ISBLANK(E1)))</formula>
    </cfRule>
    <cfRule type="expression" dxfId="157" priority="21" stopIfTrue="1">
      <formula>AND(COUNTIF($E:$E,E1)&gt;1,NOT(ISBLANK(E1)))</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8" t="s">
        <v>0</v>
      </c>
      <c r="B1" s="3228" t="s">
        <v>4</v>
      </c>
      <c r="C1" s="3228" t="s">
        <v>5</v>
      </c>
      <c r="D1" s="3229" t="s">
        <v>53</v>
      </c>
      <c r="E1" s="3229" t="s">
        <v>54</v>
      </c>
      <c r="F1" s="3229"/>
      <c r="G1" s="3229"/>
      <c r="H1" s="3229"/>
      <c r="I1" s="3229"/>
      <c r="J1" s="3229"/>
      <c r="K1" s="3229"/>
      <c r="L1" s="3229"/>
      <c r="M1" s="3229"/>
    </row>
    <row r="2" spans="1:13" ht="27" customHeight="1">
      <c r="A2" s="3228"/>
      <c r="B2" s="3228"/>
      <c r="C2" s="3228"/>
      <c r="D2" s="3229"/>
      <c r="E2" s="3229" t="s">
        <v>37</v>
      </c>
      <c r="F2" s="3229" t="s">
        <v>38</v>
      </c>
      <c r="G2" s="3229"/>
      <c r="H2" s="3229"/>
      <c r="I2" s="3229"/>
      <c r="J2" s="3229" t="s">
        <v>39</v>
      </c>
      <c r="K2" s="3229"/>
      <c r="L2" s="3229"/>
      <c r="M2" s="3229"/>
    </row>
    <row r="3" spans="1:13" ht="28.5">
      <c r="A3" s="3228"/>
      <c r="B3" s="3228"/>
      <c r="C3" s="3228"/>
      <c r="D3" s="3229"/>
      <c r="E3" s="32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9" t="s">
        <v>55</v>
      </c>
      <c r="B9" s="3229"/>
      <c r="C9" s="32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81" t="str">
        <f>项目基本情况!B1</f>
        <v>东丽区融创融园B1出让国有建设用地使用权及在建建筑物房地产抵押价值预评估</v>
      </c>
      <c r="C37" s="3081"/>
      <c r="D37" s="3081"/>
      <c r="E37" s="3081"/>
      <c r="F37" s="3081"/>
      <c r="G37" s="3081"/>
      <c r="H37" s="3081"/>
      <c r="I37" s="3081"/>
    </row>
    <row r="38" spans="1:9">
      <c r="A38" s="1016"/>
      <c r="B38" s="1016"/>
    </row>
    <row r="39" spans="1:9">
      <c r="A39" s="1014" t="s">
        <v>818</v>
      </c>
      <c r="B39" s="1014" t="s">
        <v>820</v>
      </c>
    </row>
    <row r="40" spans="1:9">
      <c r="A40" s="1014"/>
      <c r="B40" s="1940" t="str">
        <f>项目基本情况!B5</f>
        <v>中信信托</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郑燚（注册号：1120070131)、王鹏（注册号：1120050019)</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1963</v>
      </c>
      <c r="B2" s="1266">
        <f>项目基本情况!D3</f>
        <v>43755</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40" t="s">
        <v>1968</v>
      </c>
      <c r="AA4" s="2240"/>
      <c r="AB4" s="2240"/>
      <c r="AC4" s="2240"/>
      <c r="AD4" s="2240"/>
      <c r="AE4" s="2238" t="s">
        <v>1969</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3050</v>
      </c>
      <c r="O5" s="2291" t="s">
        <v>1983</v>
      </c>
      <c r="P5" s="2294" t="s">
        <v>1984</v>
      </c>
      <c r="Q5" s="69" t="s">
        <v>1985</v>
      </c>
      <c r="R5" s="2295" t="s">
        <v>1986</v>
      </c>
      <c r="S5" s="2296" t="s">
        <v>1987</v>
      </c>
      <c r="T5" s="2297" t="s">
        <v>1988</v>
      </c>
      <c r="U5" s="1267" t="s">
        <v>1989</v>
      </c>
      <c r="V5" s="1268" t="s">
        <v>1990</v>
      </c>
      <c r="W5" s="1268" t="s">
        <v>1991</v>
      </c>
      <c r="X5" s="71"/>
      <c r="Y5" s="70" t="s">
        <v>1992</v>
      </c>
      <c r="Z5" s="2298" t="s">
        <v>1989</v>
      </c>
      <c r="AA5" s="1268" t="s">
        <v>1990</v>
      </c>
      <c r="AB5" s="1268" t="s">
        <v>1991</v>
      </c>
      <c r="AC5" s="71"/>
      <c r="AD5" s="71" t="s">
        <v>1992</v>
      </c>
      <c r="AE5" s="1267" t="s">
        <v>1993</v>
      </c>
      <c r="AF5" s="1268" t="s">
        <v>1994</v>
      </c>
      <c r="AG5" s="70" t="s">
        <v>1995</v>
      </c>
      <c r="AH5" s="1267" t="s">
        <v>1996</v>
      </c>
      <c r="AI5" s="2298" t="s">
        <v>1997</v>
      </c>
      <c r="AJ5" s="2298" t="s">
        <v>1998</v>
      </c>
      <c r="AK5" s="1268" t="s">
        <v>1999</v>
      </c>
      <c r="AL5" s="1268" t="s">
        <v>2000</v>
      </c>
      <c r="AM5" s="70" t="s">
        <v>2001</v>
      </c>
      <c r="AN5" s="2299" t="s">
        <v>2002</v>
      </c>
      <c r="AO5" s="2070" t="s">
        <v>2003</v>
      </c>
      <c r="AP5" s="1249" t="s">
        <v>2004</v>
      </c>
      <c r="AQ5" s="2300" t="s">
        <v>2005</v>
      </c>
      <c r="AR5" s="2300"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小高层</v>
      </c>
      <c r="B6" s="2302" t="str">
        <f>IF(A6=0,"","经营性")</f>
        <v>经营性</v>
      </c>
      <c r="C6" s="2303" t="s">
        <v>3059</v>
      </c>
      <c r="D6" s="1051">
        <f>SUMIF(项目基本情况!D$12:I$12,C6,项目基本情况!D$14:I$14)</f>
        <v>70</v>
      </c>
      <c r="E6" s="1048">
        <f>IF(B6="","",SUMIF(项目基本情况!D$12:I$12,C6,项目基本情况!D$13:I$13))</f>
        <v>68296</v>
      </c>
      <c r="F6" s="72">
        <f>SUMIF(项目基本情况!D$12:I$12,C6,项目基本情况!D$15:I$15)</f>
        <v>67.23</v>
      </c>
      <c r="G6" s="73">
        <f>IF(ISERROR(ROUND(POWER(1+H6,D6-F6)*(POWER(1+H6,F6)-1)/(POWER(1+H6,D6)-1),3)),0,ROUND(POWER(1+H6,D6-F6)*(POWER(1+H6,F6)-1)/(POWER(1+H6,D6)-1),3))</f>
        <v>0.99399999999999999</v>
      </c>
      <c r="H6" s="802">
        <v>4.4999999999999998E-2</v>
      </c>
      <c r="I6" s="802">
        <v>0.05</v>
      </c>
      <c r="J6" s="74">
        <v>8.5000000000000006E-2</v>
      </c>
      <c r="K6" s="1251">
        <f>SUMIF('数据-汇总表'!C$19:C$33,A6,'数据-汇总表'!E$19:E$33)</f>
        <v>9322.2999999999993</v>
      </c>
      <c r="L6" s="803">
        <v>2500</v>
      </c>
      <c r="M6" s="75">
        <f t="shared" ref="M6:M14" si="0">ROUND(K6*L6/10000,0)</f>
        <v>2331</v>
      </c>
      <c r="N6" s="801">
        <v>0.6</v>
      </c>
      <c r="O6" s="75">
        <f>IF($N$5="成新度","——",ROUND(M6*N6,0))</f>
        <v>1399</v>
      </c>
      <c r="P6" s="76">
        <f>IF($N$5="成新度","——",M6-O6)</f>
        <v>932</v>
      </c>
      <c r="Q6" s="804">
        <v>0.1</v>
      </c>
      <c r="R6" s="77">
        <f ca="1">SUMIF('数据-汇总表'!C$19:C$33,A6,'数据-汇总表'!R$19:R$27)</f>
        <v>3291.97</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4"/>
      <c r="AO6" s="55" t="e">
        <f ca="1">SUMIF(INDIRECT("'"&amp;AN6&amp;"'"&amp;"!A:A"),"总价",INDIRECT("'"&amp;AN6&amp;"'"&amp;"!B:B"))</f>
        <v>#REF!</v>
      </c>
      <c r="AP6" s="2305">
        <f>IF(C6="住宅",K6*L6,0)</f>
        <v>23305750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平墅</v>
      </c>
      <c r="B7" s="2302" t="str">
        <f t="shared" ref="B7:B13" si="1">IF(A7=0,"","经营性")</f>
        <v>经营性</v>
      </c>
      <c r="C7" s="2303" t="s">
        <v>3059</v>
      </c>
      <c r="D7" s="1051">
        <f>SUMIF(项目基本情况!D$12:I$12,C7,项目基本情况!D$14:I$14)</f>
        <v>70</v>
      </c>
      <c r="E7" s="1048">
        <f>IF(B7="","",SUMIF(项目基本情况!D$12:I$12,C7,项目基本情况!D$13:I$13))</f>
        <v>68296</v>
      </c>
      <c r="F7" s="72">
        <f>SUMIF(项目基本情况!D$12:I$12,C7,项目基本情况!D$15:I$15)</f>
        <v>67.23</v>
      </c>
      <c r="G7" s="73">
        <f t="shared" ref="G7:G11" si="2">IF(ISERROR(ROUND(POWER(1+H7,D7-F7)*(POWER(1+H7,F7)-1)/(POWER(1+H7,D7)-1),3)),0,ROUND(POWER(1+H7,D7-F7)*(POWER(1+H7,F7)-1)/(POWER(1+H7,D7)-1),3))</f>
        <v>0.99399999999999999</v>
      </c>
      <c r="H7" s="802">
        <v>4.4999999999999998E-2</v>
      </c>
      <c r="I7" s="802">
        <v>0.05</v>
      </c>
      <c r="J7" s="74">
        <v>8.5000000000000006E-2</v>
      </c>
      <c r="K7" s="1251">
        <f>SUMIF('数据-汇总表'!C$19:C$33,A7,'数据-汇总表'!E$19:E$33)</f>
        <v>21524.799999999999</v>
      </c>
      <c r="L7" s="803">
        <f>L6</f>
        <v>2500</v>
      </c>
      <c r="M7" s="75">
        <f t="shared" si="0"/>
        <v>5381</v>
      </c>
      <c r="N7" s="801">
        <f>N6</f>
        <v>0.6</v>
      </c>
      <c r="O7" s="75">
        <f t="shared" ref="O7:O14" si="3">IF($N$5="成新度","——",ROUND(M7*N7,0))</f>
        <v>3229</v>
      </c>
      <c r="P7" s="76">
        <f t="shared" ref="P7:P14" si="4">IF($N$5="成新度","——",M7-O7)</f>
        <v>2152</v>
      </c>
      <c r="Q7" s="804">
        <v>0.15</v>
      </c>
      <c r="R7" s="77">
        <f ca="1">SUMIF('数据-汇总表'!C$19:C$33,A7,'数据-汇总表'!R$19:R$27)</f>
        <v>7601.01</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53812000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底商</v>
      </c>
      <c r="B8" s="2302" t="str">
        <f t="shared" si="1"/>
        <v>经营性</v>
      </c>
      <c r="C8" s="2303" t="s">
        <v>1373</v>
      </c>
      <c r="D8" s="1051">
        <f>SUMIF(项目基本情况!D$12:I$12,C8,项目基本情况!D$14:I$14)</f>
        <v>40</v>
      </c>
      <c r="E8" s="1048">
        <f>IF(B8="","",SUMIF(项目基本情况!D$12:I$12,C8,项目基本情况!D$13:I$13))</f>
        <v>57339</v>
      </c>
      <c r="F8" s="72">
        <f>SUMIF(项目基本情况!D$12:I$12,C8,项目基本情况!D$15:I$15)</f>
        <v>37.21</v>
      </c>
      <c r="G8" s="73">
        <f t="shared" si="2"/>
        <v>0.97599999999999998</v>
      </c>
      <c r="H8" s="802">
        <v>0.05</v>
      </c>
      <c r="I8" s="802">
        <v>5.5E-2</v>
      </c>
      <c r="J8" s="74">
        <v>8.5000000000000006E-2</v>
      </c>
      <c r="K8" s="1251">
        <f>SUMIF('数据-汇总表'!C$19:C$33,A8,'数据-汇总表'!E$19:E$33)</f>
        <v>7359.24</v>
      </c>
      <c r="L8" s="803">
        <f>L6</f>
        <v>2500</v>
      </c>
      <c r="M8" s="75">
        <f>ROUND(K8*L8/10000,0)</f>
        <v>1840</v>
      </c>
      <c r="N8" s="801">
        <f>N6</f>
        <v>0.6</v>
      </c>
      <c r="O8" s="75">
        <f t="shared" si="3"/>
        <v>1104</v>
      </c>
      <c r="P8" s="76">
        <f t="shared" si="4"/>
        <v>736</v>
      </c>
      <c r="Q8" s="804">
        <v>0.2</v>
      </c>
      <c r="R8" s="77">
        <f ca="1">SUMIF('数据-汇总表'!C$19:C$33,A8,'数据-汇总表'!R$19:R$27)</f>
        <v>2598.75</v>
      </c>
      <c r="S8" s="54">
        <f>IF('数据-汇总表'!$I$17="按面积比例",SUMIF('数据-汇总表'!C$19:C$33,A8,'数据-汇总表'!K$19:K$33),SUMIF('数据-汇总表'!C$19:C$33,A8,'数据-汇总表'!N$19:N$33))</f>
        <v>0</v>
      </c>
      <c r="T8" s="1443">
        <f t="shared" si="5"/>
        <v>0</v>
      </c>
      <c r="U8" s="805">
        <f>B1商业!N44</f>
        <v>3.42</v>
      </c>
      <c r="V8" s="806">
        <v>0.02</v>
      </c>
      <c r="W8" s="806">
        <v>0.15</v>
      </c>
      <c r="X8" s="1261"/>
      <c r="Y8" s="807">
        <v>1</v>
      </c>
      <c r="Z8" s="81"/>
      <c r="AA8" s="74"/>
      <c r="AB8" s="74"/>
      <c r="AC8" s="1261"/>
      <c r="AD8" s="82"/>
      <c r="AE8" s="1262">
        <f t="shared" ca="1" si="6"/>
        <v>36.21</v>
      </c>
      <c r="AF8" s="1803"/>
      <c r="AG8" s="147">
        <f t="shared" si="7"/>
        <v>0</v>
      </c>
      <c r="AH8" s="808"/>
      <c r="AI8" s="85">
        <v>365</v>
      </c>
      <c r="AJ8" s="86"/>
      <c r="AK8" s="809">
        <v>1.4999999999999999E-2</v>
      </c>
      <c r="AL8" s="810">
        <v>1.5E-3</v>
      </c>
      <c r="AM8" s="811">
        <v>0.02</v>
      </c>
      <c r="AN8" s="2304" t="s">
        <v>3768</v>
      </c>
      <c r="AO8" s="55">
        <f t="shared" ca="1" si="8"/>
        <v>11788</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2007</v>
      </c>
      <c r="B14" s="2302" t="s">
        <v>2008</v>
      </c>
      <c r="C14" s="2307" t="s">
        <v>2007</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2009</v>
      </c>
      <c r="B15" s="2302" t="s">
        <v>2008</v>
      </c>
      <c r="C15" s="2307"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2011</v>
      </c>
      <c r="B16" s="97"/>
      <c r="C16" s="1005"/>
      <c r="D16" s="2309"/>
      <c r="E16" s="97"/>
      <c r="F16" s="97"/>
      <c r="G16" s="98">
        <f>ROUND(SUMPRODUCT(G6:G13,K6:K13)/SUMPRODUCT((G6:G13&gt;0)*(K6:K13)),3)</f>
        <v>0.99099999999999999</v>
      </c>
      <c r="H16" s="99">
        <f>ROUND(SUMPRODUCT(H6:H13,K6:K13)/SUMPRODUCT((H6:H13&gt;0)*(K6:K13)),3)</f>
        <v>4.5999999999999999E-2</v>
      </c>
      <c r="I16" s="100"/>
      <c r="J16" s="100"/>
      <c r="K16" s="101">
        <f>SUM(K6:K15)</f>
        <v>38206.339999999997</v>
      </c>
      <c r="L16" s="102">
        <f>ROUND(M16*10000/SUM(K6:K14),0)</f>
        <v>2500</v>
      </c>
      <c r="M16" s="102">
        <f>SUM(M6:M14)</f>
        <v>9552</v>
      </c>
      <c r="N16" s="103">
        <f>ROUND(SUMPRODUCT(M6:M14,N6:N14)/M16,3)</f>
        <v>0.6</v>
      </c>
      <c r="O16" s="102">
        <f>SUM(O6:O14)</f>
        <v>5732</v>
      </c>
      <c r="P16" s="102">
        <f>SUM(P6:P14)</f>
        <v>3820</v>
      </c>
      <c r="Q16" s="104">
        <f>ROUND(SUMPRODUCT(Q6:Q13,K6:K13)/SUMPRODUCT((Q6:Q13&gt;0)*(K6:K13)),2)</f>
        <v>0.15</v>
      </c>
      <c r="R16" s="1255">
        <f ca="1">SUM(R6:R13)</f>
        <v>13491.73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2013</v>
      </c>
      <c r="B19" s="112">
        <v>0</v>
      </c>
      <c r="C19" s="2272" t="s">
        <v>2014</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2015</v>
      </c>
      <c r="B20" s="113">
        <v>2</v>
      </c>
      <c r="C20" s="2272" t="s">
        <v>2016</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2017</v>
      </c>
      <c r="B21" s="3072">
        <v>1</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2018</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2019</v>
      </c>
      <c r="B23" s="114">
        <f>B19+B21</f>
        <v>1</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2020</v>
      </c>
      <c r="B24" s="115">
        <f>B20-B21</f>
        <v>1</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2021</v>
      </c>
      <c r="B26" s="2315" t="s">
        <v>2022</v>
      </c>
      <c r="C26" s="2316" t="s">
        <v>2023</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2024</v>
      </c>
      <c r="B27" s="116">
        <v>290</v>
      </c>
      <c r="C27" s="1763" t="s">
        <v>2025</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2026</v>
      </c>
      <c r="B28" s="119">
        <v>320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2027</v>
      </c>
      <c r="B29" s="121">
        <f>成本法!H9</f>
        <v>1108</v>
      </c>
      <c r="C29" s="1763" t="s">
        <v>2028</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2029</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2030</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2031</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2032</v>
      </c>
      <c r="B33" s="726">
        <v>0.03</v>
      </c>
      <c r="C33" s="1762" t="s">
        <v>2033</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2034</v>
      </c>
      <c r="B34" s="122">
        <v>0.03</v>
      </c>
      <c r="C34" s="1762" t="s">
        <v>2035</v>
      </c>
      <c r="D34" s="2273" t="s">
        <v>2036</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2037</v>
      </c>
      <c r="B35" s="119">
        <v>200</v>
      </c>
      <c r="C35" s="1762" t="s">
        <v>2038</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2039</v>
      </c>
      <c r="B36" s="123">
        <v>1.4999999999999999E-2</v>
      </c>
      <c r="C36" s="1762" t="s">
        <v>2040</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2041</v>
      </c>
      <c r="B37" s="124">
        <v>0.02</v>
      </c>
      <c r="C37" s="1762" t="s">
        <v>2042</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2043</v>
      </c>
      <c r="B38" s="122">
        <v>0.02</v>
      </c>
      <c r="C38" s="1762" t="s">
        <v>2042</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2044</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2045</v>
      </c>
      <c r="B40" s="1300">
        <f ca="1">存贷款利率!G1</f>
        <v>4.7500000000000001E-2</v>
      </c>
      <c r="C40" s="1762" t="s">
        <v>2046</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2047</v>
      </c>
      <c r="B41" s="125">
        <f>B42+B43</f>
        <v>5.6500000000000002E-2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2048</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2049</v>
      </c>
      <c r="B43" s="127">
        <f>B42*(B44+B45+B46)+B47</f>
        <v>6.5000000000000006E-3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2050</v>
      </c>
      <c r="B44" s="128">
        <v>7.0000000000000007E-2</v>
      </c>
      <c r="C44" s="1762" t="s">
        <v>2051</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2052</v>
      </c>
      <c r="B45" s="126">
        <v>0.03</v>
      </c>
      <c r="C45" s="1763" t="s">
        <v>2053</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2054</v>
      </c>
      <c r="B46" s="126">
        <v>0.02</v>
      </c>
      <c r="C46" s="1763" t="s">
        <v>2055</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2056</v>
      </c>
      <c r="B47" s="129">
        <v>5.0000000000000001E-4</v>
      </c>
      <c r="C47" s="1763" t="s">
        <v>2057</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2058</v>
      </c>
      <c r="B48" s="130">
        <v>0.03</v>
      </c>
      <c r="C48" s="1770" t="s">
        <v>2059</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2060</v>
      </c>
      <c r="B49" s="126">
        <v>5.0000000000000001E-4</v>
      </c>
      <c r="C49" s="1770" t="s">
        <v>2061</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2062</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2063</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2064</v>
      </c>
      <c r="B52" s="133">
        <f>SUMIF(A54:A63,B53,B54:B63)</f>
        <v>10</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2065</v>
      </c>
      <c r="B53" s="2331" t="s">
        <v>212</v>
      </c>
      <c r="C53" s="1427" t="s">
        <v>2066</v>
      </c>
      <c r="D53" s="2332" t="s">
        <v>2067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2068</v>
      </c>
      <c r="B54" s="84">
        <v>10</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2069</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2070</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2071</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2072</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2073</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2074</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2075</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2076</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2077</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230" t="s">
        <v>2078</v>
      </c>
      <c r="B1" s="3231"/>
      <c r="C1" s="3231"/>
      <c r="D1" s="3231"/>
      <c r="E1" s="3231"/>
      <c r="F1" s="3231"/>
      <c r="G1" s="323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27">
      <c r="A3" s="415" t="s">
        <v>2081</v>
      </c>
      <c r="B3" s="1268" t="s">
        <v>2082</v>
      </c>
      <c r="C3" s="3062" t="s">
        <v>3773</v>
      </c>
      <c r="D3" s="2365"/>
      <c r="E3" s="431" t="s">
        <v>2081</v>
      </c>
      <c r="F3" s="2366" t="s">
        <v>2083</v>
      </c>
      <c r="G3" s="2367"/>
      <c r="H3" s="2363"/>
      <c r="I3" s="2363"/>
      <c r="J3" s="2363"/>
      <c r="K3" s="2363"/>
      <c r="L3" s="2363"/>
      <c r="M3" s="2363"/>
      <c r="N3" s="2363"/>
      <c r="O3" s="2363"/>
      <c r="P3" s="2363"/>
      <c r="Q3" s="2363"/>
      <c r="R3" s="2363"/>
    </row>
    <row r="4" spans="1:29" ht="15">
      <c r="A4" s="431"/>
      <c r="B4" s="1794" t="s">
        <v>2084</v>
      </c>
      <c r="C4" s="2368"/>
      <c r="D4" s="2365"/>
      <c r="E4" s="2369"/>
      <c r="F4" s="42" t="s">
        <v>2085</v>
      </c>
      <c r="G4" s="2370"/>
      <c r="H4" s="2363"/>
      <c r="I4" s="2363"/>
      <c r="J4" s="2363"/>
      <c r="K4" s="2363"/>
      <c r="L4" s="2363"/>
      <c r="M4" s="2363"/>
      <c r="N4" s="2363"/>
      <c r="O4" s="2363"/>
      <c r="P4" s="2363"/>
      <c r="Q4" s="2363"/>
      <c r="R4" s="2363"/>
    </row>
    <row r="5" spans="1:29" ht="15">
      <c r="A5" s="431"/>
      <c r="B5" s="1794" t="s">
        <v>2086</v>
      </c>
      <c r="C5" s="2368"/>
      <c r="D5" s="2365"/>
      <c r="E5" s="2369"/>
      <c r="F5" s="1794" t="s">
        <v>2087</v>
      </c>
      <c r="G5" s="2370"/>
      <c r="H5" s="2363"/>
      <c r="I5" s="2363"/>
      <c r="J5" s="2363"/>
      <c r="K5" s="2363"/>
      <c r="L5" s="2363"/>
      <c r="M5" s="2363"/>
      <c r="N5" s="2363"/>
      <c r="O5" s="2363"/>
      <c r="P5" s="2363"/>
      <c r="Q5" s="2363"/>
      <c r="R5" s="2363"/>
    </row>
    <row r="6" spans="1:29" ht="15">
      <c r="A6" s="431"/>
      <c r="B6" s="1794" t="s">
        <v>2088</v>
      </c>
      <c r="C6" s="3063" t="s">
        <v>3773</v>
      </c>
      <c r="D6" s="2365"/>
      <c r="E6" s="2369"/>
      <c r="F6" s="1794" t="s">
        <v>2089</v>
      </c>
      <c r="G6" s="2370"/>
      <c r="H6" s="2363"/>
      <c r="I6" s="2363"/>
      <c r="J6" s="2363"/>
      <c r="K6" s="2363"/>
      <c r="L6" s="2363"/>
      <c r="M6" s="2363"/>
      <c r="N6" s="2363"/>
      <c r="O6" s="2363"/>
      <c r="P6" s="2363"/>
      <c r="Q6" s="2363"/>
      <c r="R6" s="2363"/>
    </row>
    <row r="7" spans="1:29" ht="15.75" thickBot="1">
      <c r="A7" s="431"/>
      <c r="B7" s="1794" t="s">
        <v>2087</v>
      </c>
      <c r="C7" s="3063" t="s">
        <v>3773</v>
      </c>
      <c r="D7" s="2371"/>
      <c r="E7" s="2372"/>
      <c r="F7" s="2373" t="s">
        <v>2090</v>
      </c>
      <c r="G7" s="2374"/>
      <c r="H7" s="2363"/>
      <c r="I7" s="2363"/>
      <c r="J7" s="2363"/>
      <c r="K7" s="2363"/>
      <c r="L7" s="2363"/>
      <c r="M7" s="2363"/>
      <c r="N7" s="2363"/>
      <c r="O7" s="2363"/>
      <c r="P7" s="2363"/>
      <c r="Q7" s="2363"/>
      <c r="R7" s="2363"/>
    </row>
    <row r="8" spans="1:29" ht="15">
      <c r="A8" s="431"/>
      <c r="B8" s="1794" t="s">
        <v>2089</v>
      </c>
      <c r="C8" s="3063" t="s">
        <v>3295</v>
      </c>
      <c r="D8" s="2371"/>
      <c r="E8" s="2371"/>
      <c r="F8" s="1133"/>
      <c r="G8" s="1133"/>
      <c r="H8" s="2363"/>
      <c r="I8" s="2363"/>
      <c r="J8" s="2363"/>
      <c r="K8" s="2363"/>
      <c r="L8" s="2363"/>
      <c r="M8" s="2363"/>
      <c r="N8" s="2363"/>
      <c r="O8" s="2363"/>
      <c r="P8" s="2363"/>
      <c r="Q8" s="2363"/>
      <c r="R8" s="2363"/>
    </row>
    <row r="9" spans="1:29" ht="15">
      <c r="A9" s="431"/>
      <c r="B9" s="1794" t="s">
        <v>2091</v>
      </c>
      <c r="C9" s="3064" t="s">
        <v>3774</v>
      </c>
      <c r="D9" s="2365"/>
      <c r="E9" s="2371"/>
      <c r="F9" s="1133"/>
      <c r="G9" s="1133"/>
      <c r="H9" s="2363"/>
      <c r="I9" s="2363"/>
      <c r="J9" s="2363"/>
      <c r="K9" s="2363"/>
      <c r="L9" s="2363"/>
      <c r="M9" s="2363"/>
      <c r="N9" s="2363"/>
      <c r="O9" s="2363"/>
      <c r="P9" s="2363"/>
      <c r="Q9" s="2363"/>
      <c r="R9" s="2363"/>
    </row>
    <row r="10" spans="1:29" s="117" customFormat="1" ht="15.75" thickBot="1">
      <c r="A10" s="2375"/>
      <c r="B10" s="2376" t="s">
        <v>2092</v>
      </c>
      <c r="C10" s="3065" t="s">
        <v>3776</v>
      </c>
      <c r="D10" s="2365"/>
      <c r="E10" s="2365"/>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5"/>
      <c r="D11" s="2365"/>
      <c r="E11" s="2365"/>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5"/>
      <c r="D12" s="2381"/>
      <c r="E12" s="2365"/>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2093</v>
      </c>
      <c r="B13" s="2381"/>
      <c r="C13" s="2381"/>
      <c r="D13" s="2388"/>
      <c r="E13" s="2381"/>
      <c r="F13" s="2381"/>
      <c r="G13" s="2381"/>
    </row>
    <row r="14" spans="1:29" ht="15.75" thickBot="1">
      <c r="A14" s="2392"/>
      <c r="B14" s="2393"/>
      <c r="C14" s="2394" t="s">
        <v>2094</v>
      </c>
      <c r="D14" s="2365"/>
      <c r="E14" s="2395"/>
      <c r="F14" s="2395"/>
      <c r="G14" s="2360" t="s">
        <v>2095</v>
      </c>
    </row>
    <row r="15" spans="1:29" ht="27">
      <c r="A15" s="68" t="s">
        <v>2096</v>
      </c>
      <c r="B15" s="1267" t="s">
        <v>2082</v>
      </c>
      <c r="C15" s="2396" t="str">
        <f>C3</f>
        <v>较好</v>
      </c>
      <c r="D15" s="2365"/>
      <c r="E15" s="2397" t="s">
        <v>2097</v>
      </c>
      <c r="F15" s="1267" t="s">
        <v>2098</v>
      </c>
      <c r="G15" s="135">
        <f>G3</f>
        <v>0</v>
      </c>
    </row>
    <row r="16" spans="1:29" ht="15">
      <c r="A16" s="645"/>
      <c r="B16" s="2398" t="s">
        <v>2084</v>
      </c>
      <c r="C16" s="2399">
        <f>C4</f>
        <v>0</v>
      </c>
      <c r="D16" s="2365"/>
      <c r="E16" s="2400"/>
      <c r="F16" s="2401" t="s">
        <v>2085</v>
      </c>
      <c r="G16" s="136">
        <f>G4</f>
        <v>0</v>
      </c>
    </row>
    <row r="17" spans="1:18" ht="15">
      <c r="A17" s="645"/>
      <c r="B17" s="2398" t="s">
        <v>2086</v>
      </c>
      <c r="C17" s="2399">
        <f>C5</f>
        <v>0</v>
      </c>
      <c r="D17" s="2371"/>
      <c r="E17" s="2400"/>
      <c r="F17" s="2401" t="s">
        <v>2099</v>
      </c>
      <c r="G17" s="1568"/>
    </row>
    <row r="18" spans="1:18" ht="15">
      <c r="A18" s="645"/>
      <c r="B18" s="2401" t="s">
        <v>2088</v>
      </c>
      <c r="C18" s="136" t="str">
        <f>C6</f>
        <v>较好</v>
      </c>
      <c r="D18" s="2371"/>
      <c r="E18" s="2400"/>
      <c r="F18" s="2401" t="s">
        <v>2090</v>
      </c>
      <c r="G18" s="136">
        <f>G7</f>
        <v>0</v>
      </c>
    </row>
    <row r="19" spans="1:18" ht="15">
      <c r="A19" s="645"/>
      <c r="B19" s="2401" t="s">
        <v>2100</v>
      </c>
      <c r="C19" s="1568"/>
      <c r="D19" s="2365"/>
      <c r="E19" s="2400"/>
      <c r="F19" s="1794" t="s">
        <v>2087</v>
      </c>
      <c r="G19" s="136">
        <f>G5</f>
        <v>0</v>
      </c>
    </row>
    <row r="20" spans="1:18" ht="15">
      <c r="A20" s="645"/>
      <c r="B20" s="2401" t="s">
        <v>2101</v>
      </c>
      <c r="C20" s="2399" t="str">
        <f>C9</f>
        <v>一般</v>
      </c>
      <c r="D20" s="2371"/>
      <c r="E20" s="2400"/>
      <c r="F20" s="1794" t="s">
        <v>2102</v>
      </c>
      <c r="G20" s="136">
        <f>G6</f>
        <v>0</v>
      </c>
    </row>
    <row r="21" spans="1:18" ht="15">
      <c r="A21" s="645"/>
      <c r="B21" s="1794" t="s">
        <v>2087</v>
      </c>
      <c r="C21" s="136" t="str">
        <f>C7</f>
        <v>较好</v>
      </c>
      <c r="D21" s="2365"/>
      <c r="E21" s="2400"/>
      <c r="F21" s="2401" t="s">
        <v>2103</v>
      </c>
      <c r="G21" s="2402"/>
    </row>
    <row r="22" spans="1:18" ht="13.5" customHeight="1">
      <c r="A22" s="645"/>
      <c r="B22" s="1794" t="s">
        <v>2089</v>
      </c>
      <c r="C22" s="136" t="str">
        <f>C8</f>
        <v>七通</v>
      </c>
      <c r="D22" s="2365"/>
      <c r="E22" s="2400"/>
      <c r="F22" s="2401" t="s">
        <v>2092</v>
      </c>
      <c r="G22" s="1568"/>
    </row>
    <row r="23" spans="1:18" s="2363" customFormat="1" ht="15.75" thickBot="1">
      <c r="A23" s="645"/>
      <c r="B23" s="2401" t="s">
        <v>2103</v>
      </c>
      <c r="C23" s="2402"/>
      <c r="D23" s="2389"/>
      <c r="E23" s="2403"/>
      <c r="F23" s="2404" t="s">
        <v>2104</v>
      </c>
      <c r="G23" s="2405"/>
      <c r="H23" s="2389"/>
      <c r="I23" s="2390"/>
      <c r="J23" s="2389"/>
      <c r="K23" s="2389"/>
      <c r="L23" s="2390"/>
      <c r="M23" s="2389"/>
      <c r="N23" s="2389"/>
      <c r="O23" s="2390"/>
      <c r="P23" s="2389"/>
      <c r="Q23" s="2389"/>
      <c r="R23" s="2391"/>
    </row>
    <row r="24" spans="1:18" s="2363" customFormat="1" ht="15.75" thickBot="1">
      <c r="A24" s="2406"/>
      <c r="B24" s="2404" t="s">
        <v>2105</v>
      </c>
      <c r="C24" s="137" t="str">
        <f>C10</f>
        <v>次干道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3" sqref="B13:I17"/>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191540.65000000002</v>
      </c>
      <c r="C1" s="1741"/>
      <c r="D1" s="1741"/>
      <c r="E1" s="1741"/>
      <c r="F1" s="1741"/>
      <c r="G1" s="1739"/>
    </row>
    <row r="2" spans="1:10" ht="16.5">
      <c r="A2" s="1742" t="s">
        <v>1349</v>
      </c>
      <c r="B2" s="1742">
        <f>SUM(C14:C23)</f>
        <v>58633.819999999992</v>
      </c>
      <c r="C2" s="1741"/>
      <c r="D2" s="1741"/>
      <c r="E2" s="1741"/>
      <c r="F2" s="1741"/>
      <c r="G2" s="1739"/>
    </row>
    <row r="3" spans="1:10" ht="16.5">
      <c r="A3" s="1742" t="s">
        <v>1358</v>
      </c>
      <c r="B3" s="1743">
        <f>项目基本情况!D3</f>
        <v>43755</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259518</v>
      </c>
      <c r="C5" s="1742">
        <f ca="1">ROUND(B5*10000/$B$1,0)</f>
        <v>13549</v>
      </c>
      <c r="D5" s="1742">
        <f ca="1">ROUND(B5*10000/$B$2,0)</f>
        <v>44261</v>
      </c>
      <c r="E5" s="1741"/>
      <c r="F5" s="1739"/>
      <c r="G5" s="1739"/>
    </row>
    <row r="6" spans="1:10" ht="16.5">
      <c r="A6" s="1742" t="s">
        <v>1352</v>
      </c>
      <c r="B6" s="1742">
        <f ca="1">SUM(G14:G23)</f>
        <v>259518</v>
      </c>
      <c r="C6" s="1742">
        <f ca="1">ROUND(B6*10000/$B$1,0)</f>
        <v>13549</v>
      </c>
      <c r="D6" s="1742">
        <f ca="1">ROUND(B6*10000/$B$2,0)</f>
        <v>44261</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 ca="1">SUM(I14:I23)</f>
        <v>245423</v>
      </c>
      <c r="C8" s="1742">
        <f ca="1">ROUND(B8*10000/$B$1,0)</f>
        <v>12813</v>
      </c>
      <c r="D8" s="1742">
        <f ca="1">ROUND(B8*10000/$B$2,0)</f>
        <v>41857</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38206.339999999997</v>
      </c>
      <c r="C14" s="1740">
        <f>结果表!C118</f>
        <v>13491.73</v>
      </c>
      <c r="D14" s="1740">
        <f ca="1">结果表!H118</f>
        <v>80133</v>
      </c>
      <c r="E14" s="1740">
        <f ca="1">ROUND(D14*10000/B14,0)</f>
        <v>20974</v>
      </c>
      <c r="F14" s="1740">
        <f ca="1">ROUND(D14*10000/C14,0)</f>
        <v>59394</v>
      </c>
      <c r="G14" s="1740">
        <f ca="1">结果表!D122</f>
        <v>80133</v>
      </c>
      <c r="H14" s="1740" t="str">
        <f>结果表!D124</f>
        <v>——</v>
      </c>
      <c r="I14" s="1740">
        <f ca="1">结果表!D126</f>
        <v>30462</v>
      </c>
      <c r="J14" s="1739"/>
    </row>
    <row r="15" spans="1:10" ht="16.5">
      <c r="A15" s="1738" t="s">
        <v>1345</v>
      </c>
      <c r="B15" s="1745">
        <f>[4]系统读取表!$B$14</f>
        <v>19828.670000000013</v>
      </c>
      <c r="C15" s="1745">
        <f>[4]系统读取表!$C$14</f>
        <v>6356.69</v>
      </c>
      <c r="D15" s="1745">
        <f ca="1">[4]系统读取表!$D$14</f>
        <v>43400</v>
      </c>
      <c r="E15" s="1740">
        <f t="shared" ref="E15:E23" ca="1" si="0">ROUND(D15*10000/B15,0)</f>
        <v>21887</v>
      </c>
      <c r="F15" s="1740">
        <f t="shared" ref="F15:F23" ca="1" si="1">ROUND(D15*10000/C15,0)</f>
        <v>68275</v>
      </c>
      <c r="G15" s="3074">
        <f ca="1">D15</f>
        <v>43400</v>
      </c>
      <c r="H15" s="1746"/>
      <c r="I15" s="1745"/>
      <c r="J15" s="1739"/>
    </row>
    <row r="16" spans="1:10" ht="16.5">
      <c r="A16" s="1738" t="s">
        <v>1344</v>
      </c>
      <c r="B16" s="1745">
        <f>[5]系统读取表!$B$14</f>
        <v>76469.600000000006</v>
      </c>
      <c r="C16" s="1745">
        <f>[5]系统读取表!$C$14</f>
        <v>19117.599999999999</v>
      </c>
      <c r="D16" s="1745">
        <f>[5]系统读取表!$D$14</f>
        <v>76243</v>
      </c>
      <c r="E16" s="1740">
        <f t="shared" si="0"/>
        <v>9970</v>
      </c>
      <c r="F16" s="1740">
        <f t="shared" si="1"/>
        <v>39881</v>
      </c>
      <c r="G16" s="3074">
        <f>D16</f>
        <v>76243</v>
      </c>
      <c r="H16" s="1746"/>
      <c r="I16" s="1745"/>
    </row>
    <row r="17" spans="1:9" ht="16.5">
      <c r="A17" s="1738" t="s">
        <v>1343</v>
      </c>
      <c r="B17" s="1745">
        <f>[6]系统读取表!$B$14</f>
        <v>57036.04</v>
      </c>
      <c r="C17" s="1745">
        <f>[6]系统读取表!$C$14</f>
        <v>19667.8</v>
      </c>
      <c r="D17" s="1745">
        <f>[6]系统读取表!$D$14</f>
        <v>59742</v>
      </c>
      <c r="E17" s="1740">
        <f t="shared" si="0"/>
        <v>10474</v>
      </c>
      <c r="F17" s="1740">
        <f t="shared" si="1"/>
        <v>30376</v>
      </c>
      <c r="G17" s="3074">
        <f>D17</f>
        <v>59742</v>
      </c>
      <c r="H17" s="1746"/>
      <c r="I17" s="1745">
        <f ca="1">[7]结果表!$N$59-I14</f>
        <v>214961</v>
      </c>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F35" sqref="F35"/>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2106</v>
      </c>
      <c r="B1" s="2412"/>
      <c r="C1" s="2413"/>
      <c r="D1" s="2412"/>
      <c r="E1" s="2412"/>
      <c r="F1" s="2414" t="s">
        <v>2107</v>
      </c>
      <c r="G1" s="2066" t="s">
        <v>2108</v>
      </c>
      <c r="H1" s="2415" t="str">
        <f>IF(G1="现房","——","估价对象范围")</f>
        <v>估价对象范围</v>
      </c>
      <c r="I1" s="2416" t="s">
        <v>3791</v>
      </c>
    </row>
    <row r="2" spans="1:12" ht="21.75" customHeight="1" thickBot="1">
      <c r="A2" s="3304" t="str">
        <f>项目基本情况!S2</f>
        <v>东丽区融创融园B1出让国有建设用地使用权及在建建筑物房地产</v>
      </c>
      <c r="B2" s="3305"/>
      <c r="C2" s="3305"/>
      <c r="D2" s="3305"/>
      <c r="E2" s="3305"/>
      <c r="F2" s="3305"/>
      <c r="G2" s="3305"/>
      <c r="H2" s="3305"/>
      <c r="I2" s="3306"/>
    </row>
    <row r="3" spans="1:12" ht="12.75">
      <c r="A3" s="3307" t="s">
        <v>2109</v>
      </c>
      <c r="B3" s="3308"/>
      <c r="C3" s="3308"/>
      <c r="D3" s="3308"/>
      <c r="E3" s="3308"/>
      <c r="F3" s="3308"/>
      <c r="G3" s="3308"/>
      <c r="H3" s="3308"/>
      <c r="I3" s="3308"/>
    </row>
    <row r="4" spans="1:12" ht="14.25">
      <c r="A4" s="2419" t="s">
        <v>2110</v>
      </c>
      <c r="B4" s="2420" t="s">
        <v>2111</v>
      </c>
      <c r="C4" s="2421" t="s">
        <v>3179</v>
      </c>
      <c r="D4" s="2421" t="s">
        <v>3180</v>
      </c>
      <c r="E4" s="3288" t="s">
        <v>2112</v>
      </c>
      <c r="F4" s="3301"/>
      <c r="G4" s="3301"/>
      <c r="H4" s="3301"/>
      <c r="I4" s="3289"/>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279" t="s">
        <v>2113</v>
      </c>
      <c r="B5" s="3147">
        <v>25</v>
      </c>
      <c r="C5" s="3309"/>
      <c r="D5" s="3297"/>
      <c r="E5" s="140" t="s">
        <v>2114</v>
      </c>
      <c r="F5" s="2423"/>
      <c r="G5" s="2423"/>
      <c r="H5" s="2423"/>
      <c r="I5" s="1830"/>
    </row>
    <row r="6" spans="1:12" ht="12.75">
      <c r="A6" s="3279"/>
      <c r="B6" s="3147"/>
      <c r="C6" s="3311"/>
      <c r="D6" s="3297"/>
      <c r="E6" s="140" t="s">
        <v>2115</v>
      </c>
      <c r="F6" s="2423"/>
      <c r="G6" s="2423"/>
      <c r="H6" s="2423"/>
      <c r="I6" s="1830"/>
    </row>
    <row r="7" spans="1:12" ht="12.75">
      <c r="A7" s="3279"/>
      <c r="B7" s="3147"/>
      <c r="C7" s="3310"/>
      <c r="D7" s="3297"/>
      <c r="E7" s="140" t="s">
        <v>2116</v>
      </c>
      <c r="F7" s="2423"/>
      <c r="G7" s="2423"/>
      <c r="H7" s="2423"/>
      <c r="I7" s="1830"/>
    </row>
    <row r="8" spans="1:12" ht="12.75">
      <c r="A8" s="3279" t="s">
        <v>2117</v>
      </c>
      <c r="B8" s="3147">
        <v>15</v>
      </c>
      <c r="C8" s="3309"/>
      <c r="D8" s="3297"/>
      <c r="E8" s="140" t="s">
        <v>2118</v>
      </c>
      <c r="F8" s="2423"/>
      <c r="G8" s="2423"/>
      <c r="H8" s="2423"/>
      <c r="I8" s="1830"/>
    </row>
    <row r="9" spans="1:12" ht="12.75">
      <c r="A9" s="3279"/>
      <c r="B9" s="3147"/>
      <c r="C9" s="3310"/>
      <c r="D9" s="3297"/>
      <c r="E9" s="140" t="s">
        <v>2119</v>
      </c>
      <c r="F9" s="2423"/>
      <c r="G9" s="2423"/>
      <c r="H9" s="2423"/>
      <c r="I9" s="1830"/>
    </row>
    <row r="10" spans="1:12" ht="12.75">
      <c r="A10" s="3279" t="s">
        <v>2120</v>
      </c>
      <c r="B10" s="3147">
        <v>15</v>
      </c>
      <c r="C10" s="3309"/>
      <c r="D10" s="3297"/>
      <c r="E10" s="140" t="s">
        <v>2121</v>
      </c>
      <c r="F10" s="2423"/>
      <c r="G10" s="2423"/>
      <c r="H10" s="2423"/>
      <c r="I10" s="1830"/>
    </row>
    <row r="11" spans="1:12" ht="12.75">
      <c r="A11" s="3279"/>
      <c r="B11" s="3147"/>
      <c r="C11" s="3310"/>
      <c r="D11" s="3297"/>
      <c r="E11" s="140" t="s">
        <v>2122</v>
      </c>
      <c r="F11" s="2423"/>
      <c r="G11" s="2423"/>
      <c r="H11" s="2423"/>
      <c r="I11" s="1830"/>
    </row>
    <row r="12" spans="1:12" ht="12.75">
      <c r="A12" s="3279" t="s">
        <v>2123</v>
      </c>
      <c r="B12" s="3147">
        <v>15</v>
      </c>
      <c r="C12" s="3309"/>
      <c r="D12" s="3297"/>
      <c r="E12" s="140" t="s">
        <v>2124</v>
      </c>
      <c r="F12" s="2423"/>
      <c r="G12" s="2423"/>
      <c r="H12" s="2423"/>
      <c r="I12" s="1830"/>
    </row>
    <row r="13" spans="1:12" ht="12.75">
      <c r="A13" s="3279"/>
      <c r="B13" s="3147"/>
      <c r="C13" s="3310"/>
      <c r="D13" s="3297"/>
      <c r="E13" s="140" t="s">
        <v>2125</v>
      </c>
      <c r="F13" s="2423"/>
      <c r="G13" s="2423"/>
      <c r="H13" s="2423"/>
      <c r="I13" s="1830"/>
    </row>
    <row r="14" spans="1:12" ht="12.75">
      <c r="A14" s="3279" t="s">
        <v>2126</v>
      </c>
      <c r="B14" s="3147">
        <v>30</v>
      </c>
      <c r="C14" s="3309">
        <v>4</v>
      </c>
      <c r="D14" s="3297">
        <v>6</v>
      </c>
      <c r="E14" s="140" t="s">
        <v>2127</v>
      </c>
      <c r="F14" s="2423"/>
      <c r="G14" s="2423"/>
      <c r="H14" s="2423"/>
      <c r="I14" s="1830"/>
    </row>
    <row r="15" spans="1:12" ht="12.75">
      <c r="A15" s="3279"/>
      <c r="B15" s="3147"/>
      <c r="C15" s="3311"/>
      <c r="D15" s="3297"/>
      <c r="E15" s="140" t="s">
        <v>2128</v>
      </c>
      <c r="F15" s="2423"/>
      <c r="G15" s="2423"/>
      <c r="H15" s="2423"/>
      <c r="I15" s="1830"/>
    </row>
    <row r="16" spans="1:12" ht="12.75">
      <c r="A16" s="3279"/>
      <c r="B16" s="3147"/>
      <c r="C16" s="3310"/>
      <c r="D16" s="3297"/>
      <c r="E16" s="140" t="s">
        <v>2129</v>
      </c>
      <c r="F16" s="2423"/>
      <c r="G16" s="2423"/>
      <c r="H16" s="2423"/>
      <c r="I16" s="1830"/>
    </row>
    <row r="17" spans="1:35" ht="15">
      <c r="A17" s="2424" t="s">
        <v>2130</v>
      </c>
      <c r="B17" s="64"/>
      <c r="C17" s="141">
        <f>SUM(C5:C16)</f>
        <v>4</v>
      </c>
      <c r="D17" s="141">
        <f>SUM(D5:D16)</f>
        <v>6</v>
      </c>
      <c r="E17" s="138"/>
      <c r="F17" s="138"/>
      <c r="G17" s="138"/>
      <c r="H17" s="138"/>
      <c r="I17" s="138"/>
      <c r="K17" s="2422"/>
      <c r="L17" s="2425" t="s">
        <v>2131</v>
      </c>
      <c r="M17" s="2425" t="s">
        <v>2132</v>
      </c>
    </row>
    <row r="18" spans="1:35" ht="15.75" thickBot="1">
      <c r="A18" s="2426" t="s">
        <v>2133</v>
      </c>
      <c r="B18" s="2427"/>
      <c r="C18" s="142">
        <f>ROUND(C17/SUM(C17:D17),2)</f>
        <v>0.4</v>
      </c>
      <c r="D18" s="142">
        <f>1-C18</f>
        <v>0.6</v>
      </c>
      <c r="E18" s="138"/>
      <c r="F18" s="138"/>
      <c r="G18" s="138"/>
      <c r="H18" s="138"/>
      <c r="I18" s="138"/>
      <c r="K18" s="2422" t="s">
        <v>2134</v>
      </c>
      <c r="L18" s="2422">
        <f>IF(C1="",'数据-汇总表'!E3,SUMIF(项目类型,C1,'数据-汇总表'!E17:E26)+SUMIF(项目类型,C1,'数据-汇总表'!I17:I26))</f>
        <v>38206.339999999997</v>
      </c>
      <c r="M18" s="2422">
        <f>IF(C1="",'数据-汇总表'!E3,SUMIF(项目类型,C1,'数据-汇总表'!E17:E26))</f>
        <v>38206.339999999997</v>
      </c>
    </row>
    <row r="19" spans="1:35" ht="15">
      <c r="A19" s="2428" t="s">
        <v>2135</v>
      </c>
      <c r="B19" s="2429" t="s">
        <v>2136</v>
      </c>
      <c r="C19" s="143">
        <f ca="1">SUMIF(INDIRECT("'"&amp;C4&amp;"'"&amp;"!A:A"),结果表!B19,INDIRECT("'"&amp;C4&amp;"'"&amp;"!B:B"))</f>
        <v>95177</v>
      </c>
      <c r="D19" s="144">
        <f ca="1">SUMIF(INDIRECT("'"&amp;D4&amp;"'"&amp;"!A:A"),结果表!B19,INDIRECT("'"&amp;D4&amp;"'"&amp;"!B:B"))</f>
        <v>70104</v>
      </c>
      <c r="E19" s="2428" t="s">
        <v>2137</v>
      </c>
      <c r="F19" s="2429" t="s">
        <v>2136</v>
      </c>
      <c r="G19" s="145">
        <f ca="1">ROUND(C19*$C$18+D19*$D$18,0)</f>
        <v>80133</v>
      </c>
      <c r="H19" s="2430" t="s">
        <v>2138</v>
      </c>
      <c r="I19" s="138"/>
      <c r="K19" s="2422" t="s">
        <v>2139</v>
      </c>
      <c r="L19" s="2422">
        <f>IF(C1="",'数据-汇总表'!D3,SUMIF(项目类型,C1,'数据-汇总表'!D17:D26)+SUMIF(项目类型,C1,'数据-汇总表'!H17:H27))</f>
        <v>13491.73</v>
      </c>
      <c r="M19" s="2422">
        <f>IF(C1="",'数据-汇总表'!D3,SUMIF(项目类型,C1,'数据-汇总表'!D17:D26))</f>
        <v>13491.73</v>
      </c>
    </row>
    <row r="20" spans="1:35" ht="15">
      <c r="A20" s="2431"/>
      <c r="B20" s="1247" t="s">
        <v>2140</v>
      </c>
      <c r="C20" s="146">
        <f ca="1">SUMIF(INDIRECT("'"&amp;C4&amp;"'"&amp;"!A:A"),结果表!B20,INDIRECT("'"&amp;C4&amp;"'"&amp;"!B:B"))</f>
        <v>24911</v>
      </c>
      <c r="D20" s="147">
        <f ca="1">SUMIF(INDIRECT("'"&amp;D4&amp;"'"&amp;"!A:A"),结果表!B20,INDIRECT("'"&amp;D4&amp;"'"&amp;"!B:B"))</f>
        <v>18349</v>
      </c>
      <c r="E20" s="2431"/>
      <c r="F20" s="1247" t="s">
        <v>2140</v>
      </c>
      <c r="G20" s="148">
        <f ca="1">ROUND(C20*$C$18+D20*$D$18,0)</f>
        <v>20974</v>
      </c>
      <c r="H20" s="980" t="s">
        <v>2141</v>
      </c>
      <c r="I20" s="138"/>
    </row>
    <row r="21" spans="1:35" ht="15" customHeight="1" thickBot="1">
      <c r="A21" s="1000"/>
      <c r="B21" s="2432" t="s">
        <v>2142</v>
      </c>
      <c r="C21" s="789">
        <f ca="1">ROUND(C19*10000/L19,0)</f>
        <v>70545</v>
      </c>
      <c r="D21" s="790">
        <f ca="1">ROUND(D19*10000/L19,0)</f>
        <v>51961</v>
      </c>
      <c r="E21" s="1000"/>
      <c r="F21" s="2432" t="s">
        <v>2142</v>
      </c>
      <c r="G21" s="149">
        <f ca="1">ROUND(G19*10000/L19,0)</f>
        <v>59394</v>
      </c>
      <c r="H21" s="2433" t="s">
        <v>2141</v>
      </c>
      <c r="I21" s="138"/>
    </row>
    <row r="22" spans="1:35" ht="15" thickBot="1">
      <c r="A22" s="2276" t="s">
        <v>2143</v>
      </c>
      <c r="B22" s="2434"/>
      <c r="C22" s="2435"/>
      <c r="D22" s="791">
        <f ca="1">IF(C19&lt;D19,D19/C19-1,C19/D19-1)</f>
        <v>0.35765434212027847</v>
      </c>
      <c r="E22" s="138"/>
      <c r="F22" s="138"/>
      <c r="G22" s="138"/>
      <c r="H22" s="138"/>
      <c r="I22" s="138"/>
    </row>
    <row r="23" spans="1:35" ht="13.5" thickBot="1">
      <c r="A23" s="2412"/>
      <c r="B23" s="2412"/>
      <c r="C23" s="2412"/>
      <c r="D23" s="2412"/>
      <c r="E23" s="138"/>
      <c r="F23" s="138"/>
      <c r="G23" s="138"/>
      <c r="H23" s="138"/>
      <c r="I23" s="138"/>
    </row>
    <row r="24" spans="1:35" ht="14.25">
      <c r="A24" s="3318" t="s">
        <v>2144</v>
      </c>
      <c r="B24" s="2429" t="s">
        <v>2136</v>
      </c>
      <c r="C24" s="145">
        <f>IF(B30=0,0,D30)</f>
        <v>0</v>
      </c>
      <c r="D24" s="2436"/>
      <c r="E24" s="138"/>
      <c r="F24" s="138"/>
      <c r="G24" s="138"/>
      <c r="H24" s="138"/>
      <c r="I24" s="138"/>
    </row>
    <row r="25" spans="1:35" ht="14.25">
      <c r="A25" s="3319"/>
      <c r="B25" s="1247"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2149</v>
      </c>
      <c r="B30" s="151"/>
      <c r="C30" s="151"/>
      <c r="D30" s="151"/>
      <c r="E30" s="2910" t="s">
        <v>3018</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2150</v>
      </c>
      <c r="B32" s="2442"/>
      <c r="C32" s="153">
        <f ca="1">IF(D32="总价",G19-C24,G20-C25)</f>
        <v>80133</v>
      </c>
      <c r="D32" s="2443" t="s">
        <v>2151</v>
      </c>
      <c r="E32" s="138"/>
      <c r="F32" s="138"/>
      <c r="G32" s="138"/>
      <c r="H32" s="138"/>
      <c r="I32" s="138"/>
    </row>
    <row r="33" spans="1:15" ht="15">
      <c r="A33" s="957" t="s">
        <v>2152</v>
      </c>
      <c r="B33" s="2444"/>
      <c r="C33" s="2445" t="s">
        <v>3839</v>
      </c>
      <c r="D33" s="2446" t="s">
        <v>3179</v>
      </c>
      <c r="E33" s="2447" t="s">
        <v>2153</v>
      </c>
      <c r="F33" s="2448" t="str">
        <f>IF(D32="楼面单价","取值（单价）","取值（总价）")</f>
        <v>取值（总价）</v>
      </c>
      <c r="G33" s="138"/>
      <c r="H33" s="138"/>
      <c r="I33" s="138"/>
    </row>
    <row r="34" spans="1:15" ht="15">
      <c r="A34" s="2449"/>
      <c r="B34" s="2450" t="s">
        <v>2154</v>
      </c>
      <c r="C34" s="157">
        <f ca="1">IF(C33="自定义",F34,C32-C35)</f>
        <v>71587</v>
      </c>
      <c r="D34" s="1055">
        <f ca="1">IF(C33="自定义",ROUND(C34/C32,3),IF(C33="收益比率",SUMIF(INDIRECT("'"&amp;D33&amp;"'"&amp;"!b:b"),"土地收益比率",INDIRECT("'"&amp;D33&amp;"'"&amp;"!c:c")),SUMIF(INDIRECT("'"&amp;D33&amp;"'"&amp;"!b:b"),"土地成本比率",INDIRECT("'"&amp;D33&amp;"'"&amp;"!c:c"))))</f>
        <v>0.89300000000000002</v>
      </c>
      <c r="E34" s="2451" t="s">
        <v>2155</v>
      </c>
      <c r="F34" s="1735">
        <f ca="1">G19-F35</f>
        <v>71587</v>
      </c>
      <c r="G34" s="138"/>
      <c r="H34" s="138"/>
      <c r="I34" s="138"/>
    </row>
    <row r="35" spans="1:15" ht="15.75" thickBot="1">
      <c r="A35" s="2452"/>
      <c r="B35" s="2453" t="s">
        <v>2156</v>
      </c>
      <c r="C35" s="1441">
        <f ca="1">IF(C33="自定义",F35,ROUND(C32*D35,0))</f>
        <v>8546</v>
      </c>
      <c r="D35" s="1442">
        <f ca="1">IF(C33="自定义",ROUND(C35/C32,3),IF(C33="收益比率",SUMIF(INDIRECT("'"&amp;D33&amp;"'"&amp;"!b:b"),"建筑物收益比率",INDIRECT("'"&amp;D33&amp;"'"&amp;"!c:c")),SUMIF(INDIRECT("'"&amp;D33&amp;"'"&amp;"!b:b"),"建筑物成本比率",INDIRECT("'"&amp;D33&amp;"'"&amp;"!c:c"))))</f>
        <v>0.107</v>
      </c>
      <c r="E35" s="2454" t="s">
        <v>2157</v>
      </c>
      <c r="F35" s="163">
        <f ca="1">成本法!C51</f>
        <v>8546</v>
      </c>
      <c r="G35" s="138"/>
      <c r="H35" s="138"/>
      <c r="I35" s="138"/>
    </row>
    <row r="36" spans="1:15" ht="15.75" thickBot="1">
      <c r="A36" s="3298" t="s">
        <v>2158</v>
      </c>
      <c r="B36" s="2455" t="s">
        <v>2159</v>
      </c>
      <c r="C36" s="154"/>
      <c r="D36" s="2456"/>
      <c r="E36" s="2457"/>
      <c r="F36" s="2458"/>
      <c r="G36" s="138"/>
      <c r="H36" s="138"/>
      <c r="I36" s="138"/>
    </row>
    <row r="37" spans="1:15" ht="15.75" thickBot="1">
      <c r="A37" s="3299"/>
      <c r="B37" s="2262" t="s">
        <v>2160</v>
      </c>
      <c r="C37" s="156"/>
      <c r="D37" s="1392"/>
      <c r="E37" s="1392"/>
      <c r="F37" s="2458"/>
      <c r="G37" s="138"/>
      <c r="H37" s="138"/>
      <c r="I37" s="138"/>
    </row>
    <row r="38" spans="1:15" ht="15.75" thickBot="1">
      <c r="A38" s="3300"/>
      <c r="B38" s="2459" t="s">
        <v>2161</v>
      </c>
      <c r="C38" s="727"/>
      <c r="D38" s="2460" t="s">
        <v>2162</v>
      </c>
      <c r="E38" s="1392"/>
      <c r="F38" s="2458"/>
      <c r="G38" s="138"/>
      <c r="H38" s="138"/>
      <c r="I38" s="138"/>
    </row>
    <row r="39" spans="1:15" ht="15">
      <c r="A39" s="2431" t="s">
        <v>2163</v>
      </c>
      <c r="B39" s="2461" t="s">
        <v>2164</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315" t="s">
        <v>2172</v>
      </c>
      <c r="B45" s="3316"/>
      <c r="C45" s="3317"/>
      <c r="D45" s="164">
        <f ca="1">ROUND(H101*F45,0)</f>
        <v>80133</v>
      </c>
      <c r="E45" s="165" t="s">
        <v>2173</v>
      </c>
      <c r="F45" s="166">
        <v>1</v>
      </c>
      <c r="G45" s="167" t="s">
        <v>2174</v>
      </c>
      <c r="H45" s="138"/>
      <c r="I45" s="138"/>
      <c r="J45" s="3234" t="s">
        <v>2175</v>
      </c>
      <c r="K45" s="3234"/>
      <c r="L45" s="3234"/>
      <c r="M45" s="3234"/>
      <c r="N45" s="3234"/>
      <c r="O45" s="3234"/>
    </row>
    <row r="46" spans="1:15" ht="14.25" customHeight="1">
      <c r="A46" s="3312" t="s">
        <v>2176</v>
      </c>
      <c r="B46" s="3313"/>
      <c r="C46" s="3313"/>
      <c r="D46" s="3313"/>
      <c r="E46" s="3313"/>
      <c r="F46" s="3313"/>
      <c r="G46" s="3314"/>
      <c r="H46" s="2474"/>
      <c r="I46" s="168"/>
      <c r="J46" s="1808">
        <v>1</v>
      </c>
      <c r="K46" s="3234" t="s">
        <v>2177</v>
      </c>
      <c r="L46" s="3234"/>
      <c r="M46" s="3235"/>
      <c r="N46" s="3235"/>
      <c r="O46" s="3235"/>
    </row>
    <row r="47" spans="1:15" ht="12" customHeight="1">
      <c r="A47" s="169" t="s">
        <v>2178</v>
      </c>
      <c r="B47" s="170"/>
      <c r="C47" s="171"/>
      <c r="D47" s="172" t="s">
        <v>2179</v>
      </c>
      <c r="E47" s="24" t="s">
        <v>2180</v>
      </c>
      <c r="F47" s="173" t="s">
        <v>2181</v>
      </c>
      <c r="G47" s="174" t="s">
        <v>2182</v>
      </c>
      <c r="H47" s="2474"/>
      <c r="I47" s="168"/>
      <c r="J47" s="1808">
        <v>2</v>
      </c>
      <c r="K47" s="3234" t="s">
        <v>2183</v>
      </c>
      <c r="L47" s="3234"/>
      <c r="M47" s="3236">
        <f>'数据-取费表'!B2</f>
        <v>43755</v>
      </c>
      <c r="N47" s="3236"/>
      <c r="O47" s="3236"/>
    </row>
    <row r="48" spans="1:15" ht="25.5">
      <c r="A48" s="3302" t="s">
        <v>2184</v>
      </c>
      <c r="B48" s="3303"/>
      <c r="C48" s="3303"/>
      <c r="D48" s="140">
        <f ca="1">IF(H48="情况1",0,IF(H48="情况2",D52,IF(H48="情况3",D53,IF(H48="情况4",D54))))</f>
        <v>4312</v>
      </c>
      <c r="E48" s="1797" t="str">
        <f>IF(H48="情况4","(销售额-原购置价)×税（费）率","销售额×税（费）率")</f>
        <v>销售额×税（费）率</v>
      </c>
      <c r="F48" s="175">
        <f>IF(H48="情况1","免征",'数据-取费表'!B41)</f>
        <v>5.6500000000000002E-2</v>
      </c>
      <c r="G48" s="2475" t="s">
        <v>2185</v>
      </c>
      <c r="H48" s="2476" t="s">
        <v>3790</v>
      </c>
      <c r="I48" s="2474"/>
      <c r="J48" s="1808">
        <v>3</v>
      </c>
      <c r="K48" s="3234" t="s">
        <v>2186</v>
      </c>
      <c r="L48" s="3234"/>
      <c r="M48" s="3237">
        <f ca="1">H101</f>
        <v>80133</v>
      </c>
      <c r="N48" s="3237"/>
      <c r="O48" s="3237"/>
    </row>
    <row r="49" spans="1:35" ht="25.5" customHeight="1">
      <c r="A49" s="176" t="s">
        <v>2187</v>
      </c>
      <c r="B49" s="3282" t="s">
        <v>2188</v>
      </c>
      <c r="C49" s="3282"/>
      <c r="D49" s="177">
        <v>0</v>
      </c>
      <c r="E49" s="23" t="s">
        <v>2189</v>
      </c>
      <c r="F49" s="28" t="s">
        <v>34</v>
      </c>
      <c r="G49" s="3263"/>
      <c r="H49" s="138"/>
      <c r="I49" s="2477"/>
      <c r="J49" s="1808">
        <v>4</v>
      </c>
      <c r="K49" s="3234" t="str">
        <f>IF(项目基本情况!E8="房地产抵押价值","房地产抵押价值","抵押担保权已注销时的房地产抵押价值")</f>
        <v>房地产抵押价值</v>
      </c>
      <c r="L49" s="3234"/>
      <c r="M49" s="3237">
        <f ca="1">IF(项目基本情况!E8="房地产抵押价值",H107,H109)</f>
        <v>80133</v>
      </c>
      <c r="N49" s="3237"/>
      <c r="O49" s="3237"/>
    </row>
    <row r="50" spans="1:35" ht="25.5" customHeight="1">
      <c r="A50" s="178"/>
      <c r="B50" s="3282" t="s">
        <v>2190</v>
      </c>
      <c r="C50" s="3282"/>
      <c r="D50" s="179"/>
      <c r="E50" s="31"/>
      <c r="F50" s="180"/>
      <c r="G50" s="3264"/>
      <c r="H50" s="138"/>
      <c r="I50" s="2477"/>
      <c r="J50" s="3234" t="s">
        <v>2191</v>
      </c>
      <c r="K50" s="3234"/>
      <c r="L50" s="3234"/>
      <c r="M50" s="3234"/>
      <c r="N50" s="3234"/>
      <c r="O50" s="3234"/>
    </row>
    <row r="51" spans="1:35" ht="12" customHeight="1">
      <c r="A51" s="181"/>
      <c r="B51" s="3282" t="s">
        <v>2192</v>
      </c>
      <c r="C51" s="3282"/>
      <c r="D51" s="182"/>
      <c r="E51" s="30"/>
      <c r="F51" s="180"/>
      <c r="G51" s="3265"/>
      <c r="H51" s="138"/>
      <c r="I51" s="2477"/>
      <c r="J51" s="2478" t="s">
        <v>2193</v>
      </c>
      <c r="K51" s="3234" t="s">
        <v>2194</v>
      </c>
      <c r="L51" s="3234"/>
      <c r="M51" s="2478" t="s">
        <v>2195</v>
      </c>
      <c r="N51" s="2478" t="s">
        <v>2196</v>
      </c>
      <c r="O51" s="2478" t="s">
        <v>2197</v>
      </c>
    </row>
    <row r="52" spans="1:35" ht="24" customHeight="1">
      <c r="A52" s="183" t="s">
        <v>2198</v>
      </c>
      <c r="B52" s="3282" t="s">
        <v>2199</v>
      </c>
      <c r="C52" s="3282"/>
      <c r="D52" s="182">
        <f ca="1">ROUND(D45*'数据-取费表'!B41/(1+'数据-取费表'!C42),0)</f>
        <v>4312</v>
      </c>
      <c r="E52" s="11" t="s">
        <v>2200</v>
      </c>
      <c r="F52" s="184">
        <f>'数据-取费表'!B41</f>
        <v>5.6500000000000002E-2</v>
      </c>
      <c r="G52" s="2479"/>
      <c r="H52" s="138"/>
      <c r="I52" s="2477"/>
      <c r="J52" s="1808">
        <v>1</v>
      </c>
      <c r="K52" s="3257" t="s">
        <v>2201</v>
      </c>
      <c r="L52" s="3257"/>
      <c r="M52" s="1750">
        <f ca="1">D48</f>
        <v>4312</v>
      </c>
      <c r="N52" s="1808" t="str">
        <f>E48</f>
        <v>销售额×税（费）率</v>
      </c>
      <c r="O52" s="1751">
        <f>F48</f>
        <v>5.6500000000000002E-2</v>
      </c>
    </row>
    <row r="53" spans="1:35" ht="12" customHeight="1">
      <c r="A53" s="183" t="s">
        <v>2202</v>
      </c>
      <c r="B53" s="3283" t="s">
        <v>2203</v>
      </c>
      <c r="C53" s="3284"/>
      <c r="D53" s="182">
        <f ca="1">ROUND(D45*'数据-取费表'!B41/(1+'数据-取费表'!C42),0)</f>
        <v>4312</v>
      </c>
      <c r="E53" s="11" t="s">
        <v>2200</v>
      </c>
      <c r="F53" s="184">
        <f>'数据-取费表'!B41</f>
        <v>5.6500000000000002E-2</v>
      </c>
      <c r="G53" s="2479"/>
      <c r="H53" s="138"/>
      <c r="I53" s="2477"/>
      <c r="J53" s="1808">
        <v>2</v>
      </c>
      <c r="K53" s="3257" t="s">
        <v>2204</v>
      </c>
      <c r="L53" s="3257"/>
      <c r="M53" s="1750">
        <f t="shared" ref="M53:O54" ca="1" si="0">D55</f>
        <v>40</v>
      </c>
      <c r="N53" s="1808" t="str">
        <f t="shared" si="0"/>
        <v>销售额×税（费）率</v>
      </c>
      <c r="O53" s="1751">
        <f t="shared" si="0"/>
        <v>5.0000000000000001E-4</v>
      </c>
    </row>
    <row r="54" spans="1:35" ht="12" customHeight="1">
      <c r="A54" s="183" t="s">
        <v>2205</v>
      </c>
      <c r="B54" s="3283" t="s">
        <v>2206</v>
      </c>
      <c r="C54" s="3284"/>
      <c r="D54" s="182">
        <f ca="1">C68</f>
        <v>4312</v>
      </c>
      <c r="E54" s="30" t="s">
        <v>2207</v>
      </c>
      <c r="F54" s="184">
        <f>'数据-取费表'!B41</f>
        <v>5.6500000000000002E-2</v>
      </c>
      <c r="G54" s="2479"/>
      <c r="H54" s="2480"/>
      <c r="I54" s="2477"/>
      <c r="J54" s="1808">
        <v>3</v>
      </c>
      <c r="K54" s="3257" t="s">
        <v>2208</v>
      </c>
      <c r="L54" s="3257"/>
      <c r="M54" s="1750">
        <f t="shared" ca="1" si="0"/>
        <v>45319</v>
      </c>
      <c r="N54" s="1808" t="str">
        <f t="shared" si="0"/>
        <v>增值额×税（费）率</v>
      </c>
      <c r="O54" s="1752" t="str">
        <f t="shared" si="0"/>
        <v>——</v>
      </c>
    </row>
    <row r="55" spans="1:35" ht="24" customHeight="1">
      <c r="A55" s="3321" t="s">
        <v>2209</v>
      </c>
      <c r="B55" s="3303"/>
      <c r="C55" s="3303"/>
      <c r="D55" s="185">
        <f ca="1">IF(H55="个人住宅",0,ROUND(D45*I55,0))</f>
        <v>40</v>
      </c>
      <c r="E55" s="11" t="s">
        <v>2210</v>
      </c>
      <c r="F55" s="184">
        <f>IF(H55="正常",I55,"免征")</f>
        <v>5.0000000000000001E-4</v>
      </c>
      <c r="G55" s="2479"/>
      <c r="H55" s="2476" t="s">
        <v>2211</v>
      </c>
      <c r="I55" s="186">
        <f>'数据-取费表'!B49</f>
        <v>5.0000000000000001E-4</v>
      </c>
      <c r="J55" s="1808" t="str">
        <f>IF(H59="非个人房产","",4)</f>
        <v/>
      </c>
      <c r="K55" s="3257" t="str">
        <f>IF(H59="非个人房产","——","个人所得税")</f>
        <v>——</v>
      </c>
      <c r="L55" s="3257"/>
      <c r="M55" s="1753" t="str">
        <f>D59</f>
        <v>——</v>
      </c>
      <c r="N55" s="1806" t="str">
        <f>E59</f>
        <v>——</v>
      </c>
      <c r="O55" s="1754" t="str">
        <f>F59</f>
        <v>——</v>
      </c>
    </row>
    <row r="56" spans="1:35" ht="24.75">
      <c r="A56" s="3321" t="s">
        <v>2212</v>
      </c>
      <c r="B56" s="3303"/>
      <c r="C56" s="3303"/>
      <c r="D56" s="185">
        <f ca="1">IF(H56="个人住宅",D57,D58)</f>
        <v>45319</v>
      </c>
      <c r="E56" s="11" t="s">
        <v>2213</v>
      </c>
      <c r="F56" s="184" t="str">
        <f>IF(H56="正常",F58,"免征")</f>
        <v>——</v>
      </c>
      <c r="G56" s="2481" t="s">
        <v>2214</v>
      </c>
      <c r="H56" s="2482" t="s">
        <v>2211</v>
      </c>
      <c r="I56" s="2483"/>
      <c r="J56" s="1808" t="str">
        <f>IF(项目基本情况!K6="上海银行",IF(J55="",4,J55+1),"")</f>
        <v/>
      </c>
      <c r="K56" s="3240" t="str">
        <f>IF(项目基本情况!K6="上海银行","其他处置费用","")</f>
        <v/>
      </c>
      <c r="L56" s="3241"/>
      <c r="M56" s="1750" t="str">
        <f>IF(项目基本情况!K6="上海银行",M69,"")</f>
        <v/>
      </c>
      <c r="N56" s="3243" t="str">
        <f>IF(项目基本情况!K6="上海银行","包含处置中涉及的律师、诉讼、拍卖、评估等费用","")</f>
        <v/>
      </c>
      <c r="O56" s="3244"/>
    </row>
    <row r="57" spans="1:35" ht="12.75">
      <c r="A57" s="183" t="s">
        <v>2187</v>
      </c>
      <c r="B57" s="3288" t="s">
        <v>2215</v>
      </c>
      <c r="C57" s="3289"/>
      <c r="D57" s="187">
        <v>0</v>
      </c>
      <c r="E57" s="23" t="s">
        <v>2189</v>
      </c>
      <c r="F57" s="155"/>
      <c r="G57" s="2479"/>
      <c r="H57" s="2483"/>
      <c r="I57" s="2483"/>
      <c r="J57" s="3257">
        <f>IF(AND(J55="",J56=""),4,IF(项目基本情况!K6="上海银行",结果表!J56+1,结果表!J55+1))</f>
        <v>4</v>
      </c>
      <c r="K57" s="3257" t="s">
        <v>2216</v>
      </c>
      <c r="L57" s="2484" t="s">
        <v>2217</v>
      </c>
      <c r="M57" s="1755"/>
      <c r="N57" s="1756">
        <f ca="1">SUMIF(M52:M56,"&lt;9e307")</f>
        <v>49671</v>
      </c>
      <c r="O57" s="2485"/>
      <c r="P57" s="1749">
        <f ca="1">N57/M49</f>
        <v>0.61985698775785258</v>
      </c>
    </row>
    <row r="58" spans="1:35" ht="24.75">
      <c r="A58" s="183" t="s">
        <v>2198</v>
      </c>
      <c r="B58" s="3288" t="s">
        <v>2218</v>
      </c>
      <c r="C58" s="3301"/>
      <c r="D58" s="185">
        <f ca="1">IF(H58="转让取得",C81,C97)</f>
        <v>45319</v>
      </c>
      <c r="E58" s="11" t="s">
        <v>2213</v>
      </c>
      <c r="F58" s="24" t="s">
        <v>34</v>
      </c>
      <c r="G58" s="2479"/>
      <c r="H58" s="2482" t="s">
        <v>2219</v>
      </c>
      <c r="I58" s="2483"/>
      <c r="J58" s="3257"/>
      <c r="K58" s="3257"/>
      <c r="L58" s="2484" t="s">
        <v>2220</v>
      </c>
      <c r="M58" s="1757"/>
      <c r="N58" s="2486" t="str">
        <f ca="1">NUMBERSTRING(INT(N57*10000),2)&amp;"元整"</f>
        <v>肆亿玖仟陆佰柒拾壹万元整</v>
      </c>
      <c r="O58" s="2487"/>
    </row>
    <row r="59" spans="1:35" ht="24.75" thickBot="1">
      <c r="A59" s="3261" t="s">
        <v>2221</v>
      </c>
      <c r="B59" s="3262"/>
      <c r="C59" s="3262"/>
      <c r="D59" s="188" t="str">
        <f>IF(H59="非个人房产","——",IF(H59="个人住宅",0,ROUND(D45*I59,0)))</f>
        <v>——</v>
      </c>
      <c r="E59" s="189" t="str">
        <f>IF(H59="非个人房产","——","销售额×税（费）率")</f>
        <v>——</v>
      </c>
      <c r="F59" s="190" t="str">
        <f>IF(H59="非个人房产","——",IF(H59="个人住宅","免征",I59))</f>
        <v>——</v>
      </c>
      <c r="G59" s="2488" t="s">
        <v>2214</v>
      </c>
      <c r="H59" s="2482" t="s">
        <v>2222</v>
      </c>
      <c r="I59" s="191">
        <v>0.01</v>
      </c>
      <c r="J59" s="3259">
        <f>J57+1</f>
        <v>5</v>
      </c>
      <c r="K59" s="3257" t="s">
        <v>2223</v>
      </c>
      <c r="L59" s="1808" t="s">
        <v>2217</v>
      </c>
      <c r="M59" s="1758"/>
      <c r="N59" s="1759">
        <f ca="1">M49-N57</f>
        <v>30462</v>
      </c>
      <c r="O59" s="2489"/>
    </row>
    <row r="60" spans="1:35" ht="12" customHeight="1">
      <c r="A60" s="2490"/>
      <c r="B60" s="2412"/>
      <c r="C60" s="2412"/>
      <c r="D60" s="2412"/>
      <c r="E60" s="2162"/>
      <c r="F60" s="2483"/>
      <c r="G60" s="2483"/>
      <c r="H60" s="2491"/>
      <c r="I60" s="138"/>
      <c r="J60" s="3260"/>
      <c r="K60" s="3257"/>
      <c r="L60" s="2484" t="s">
        <v>2220</v>
      </c>
      <c r="M60" s="1757"/>
      <c r="N60" s="2486" t="str">
        <f ca="1">NUMBERSTRING(INT(N59*10000),2)&amp;"元整"</f>
        <v>叁亿零肆佰陆拾贰万元整</v>
      </c>
      <c r="O60" s="2487"/>
    </row>
    <row r="61" spans="1:35" ht="13.5" thickBot="1">
      <c r="A61" s="3320" t="s">
        <v>2224</v>
      </c>
      <c r="B61" s="3320"/>
      <c r="C61" s="3320"/>
      <c r="D61" s="3320"/>
      <c r="E61" s="3320"/>
      <c r="F61" s="2483"/>
      <c r="G61" s="2483"/>
      <c r="H61" s="2491"/>
      <c r="I61" s="138"/>
      <c r="J61" s="1808">
        <f>J59+1</f>
        <v>6</v>
      </c>
      <c r="K61" s="3257" t="s">
        <v>2225</v>
      </c>
      <c r="L61" s="3257"/>
      <c r="M61" s="1760"/>
      <c r="N61" s="1761">
        <f ca="1">ROUND(N59*10000/'数据-汇总表'!E3,0)</f>
        <v>7973</v>
      </c>
      <c r="O61" s="2492"/>
    </row>
    <row r="62" spans="1:35" ht="12.75">
      <c r="A62" s="3277" t="s">
        <v>2226</v>
      </c>
      <c r="B62" s="3278"/>
      <c r="C62" s="1800"/>
      <c r="D62" s="1800" t="s">
        <v>2227</v>
      </c>
      <c r="E62" s="192" t="s">
        <v>2228</v>
      </c>
      <c r="F62" s="2483"/>
      <c r="G62" s="2483"/>
      <c r="H62" s="2491"/>
      <c r="I62" s="138"/>
    </row>
    <row r="63" spans="1:35" ht="12.75">
      <c r="A63" s="203" t="s">
        <v>775</v>
      </c>
      <c r="B63" s="193" t="s">
        <v>2229</v>
      </c>
      <c r="C63" s="194">
        <f ca="1">ROUND((C64+C65)/(1+'数据-取费表'!C42),0)</f>
        <v>76317</v>
      </c>
      <c r="D63" s="195"/>
      <c r="E63" s="196"/>
      <c r="F63" s="2483"/>
      <c r="G63" s="2483"/>
      <c r="H63" s="2491"/>
      <c r="I63" s="138"/>
      <c r="J63" s="3242" t="s">
        <v>2230</v>
      </c>
      <c r="K63" s="2493" t="s">
        <v>2231</v>
      </c>
      <c r="L63" s="1748">
        <f ca="1">IF(M49&gt;10000,M49*0.5%,IF(AND(M49&gt;1000,M49&lt;=10000),M49*1%,IF(AND(M49&gt;100,M49&lt;=1000),M49*3%,IF(AND(M49&gt;10,M49&lt;=100),M49*5%,M49*8%))))</f>
        <v>400.66500000000002</v>
      </c>
      <c r="M63" s="24">
        <f ca="1">ROUND(L63,1)</f>
        <v>400.7</v>
      </c>
      <c r="Z63" s="2417"/>
      <c r="AI63" s="2418"/>
    </row>
    <row r="64" spans="1:35" ht="14.25" customHeight="1">
      <c r="A64" s="197" t="s">
        <v>770</v>
      </c>
      <c r="B64" s="198" t="s">
        <v>2232</v>
      </c>
      <c r="C64" s="199">
        <f ca="1">D45</f>
        <v>80133</v>
      </c>
      <c r="D64" s="200" t="s">
        <v>32</v>
      </c>
      <c r="E64" s="201"/>
      <c r="F64" s="2483"/>
      <c r="G64" s="2483"/>
      <c r="H64" s="2491"/>
      <c r="I64" s="138"/>
      <c r="J64" s="3242"/>
      <c r="K64" s="2493" t="s">
        <v>2233</v>
      </c>
      <c r="L64" s="1748">
        <f ca="1">IF(M49&gt;2000,M49*0.5%,IF(AND(M49&gt;1000,M49&lt;=2000),M49*0.6%,IF(AND(M49&gt;500,M49&lt;=1000),M49*0.7%,IF(AND(M49&gt;200,M49&lt;=500),M49*0.8%,IF(AND(M49&gt;100,M49&lt;=200),M49*0.9%,IF(AND(M49&gt;50,M49&lt;=100),M49*1%,IF(AND(M49&gt;20,M49&lt;=50),M49*1.5%,IF(AND(M49&gt;10,M49&lt;=20),M49*2%,IF(AND(M49&gt;1,M49&lt;=10),M49*2.5%)))))))))</f>
        <v>400.66500000000002</v>
      </c>
      <c r="M64" s="24">
        <f t="shared" ref="M64:M65" ca="1" si="1">ROUND(L64,1)</f>
        <v>400.7</v>
      </c>
      <c r="N64" s="138" t="s">
        <v>2234</v>
      </c>
      <c r="Z64" s="2417"/>
      <c r="AI64" s="2418"/>
    </row>
    <row r="65" spans="1:35" ht="14.25" customHeight="1">
      <c r="A65" s="197" t="s">
        <v>771</v>
      </c>
      <c r="B65" s="198" t="s">
        <v>2235</v>
      </c>
      <c r="C65" s="202"/>
      <c r="D65" s="200"/>
      <c r="E65" s="201"/>
      <c r="F65" s="2483"/>
      <c r="G65" s="2483"/>
      <c r="H65" s="2491"/>
      <c r="I65" s="138"/>
      <c r="J65" s="3242"/>
      <c r="K65" s="2493" t="s">
        <v>2236</v>
      </c>
      <c r="L65" s="1748">
        <f ca="1">IF(M49&gt;1000,M49*0.1%,IF(AND(M49&gt;500,M49&lt;=1000),M49*0.5%,IF(AND(M49&gt;50,M49&lt;=500),M49*1%,IF(AND(M49&gt;1,M49&lt;=50),M49*1.5%))))</f>
        <v>80.132999999999996</v>
      </c>
      <c r="M65" s="24">
        <f t="shared" ca="1" si="1"/>
        <v>80.099999999999994</v>
      </c>
      <c r="N65" s="138" t="s">
        <v>2234</v>
      </c>
      <c r="Z65" s="2417"/>
      <c r="AI65" s="2418"/>
    </row>
    <row r="66" spans="1:35" ht="14.25" customHeight="1">
      <c r="A66" s="203" t="s">
        <v>772</v>
      </c>
      <c r="B66" s="204" t="s">
        <v>2237</v>
      </c>
      <c r="C66" s="205"/>
      <c r="D66" s="206" t="s">
        <v>32</v>
      </c>
      <c r="E66" s="1772" t="s">
        <v>1367</v>
      </c>
      <c r="F66" s="2483"/>
      <c r="G66" s="2483"/>
      <c r="H66" s="2491"/>
      <c r="I66" s="138"/>
      <c r="J66" s="3242"/>
      <c r="K66" s="2493" t="s">
        <v>2238</v>
      </c>
      <c r="L66" s="1748">
        <f ca="1">M49*0.5%</f>
        <v>400.66500000000002</v>
      </c>
      <c r="M66" s="24">
        <f ca="1">IF(L66&gt;0.5,0.5,ROUND(L66,0))</f>
        <v>0.5</v>
      </c>
      <c r="N66" s="138" t="s">
        <v>2239</v>
      </c>
      <c r="Z66" s="2417"/>
      <c r="AI66" s="2418"/>
    </row>
    <row r="67" spans="1:35" ht="14.25" customHeight="1">
      <c r="A67" s="203" t="s">
        <v>773</v>
      </c>
      <c r="B67" s="204" t="s">
        <v>2240</v>
      </c>
      <c r="C67" s="207">
        <f ca="1">C63-C66</f>
        <v>76317</v>
      </c>
      <c r="D67" s="200" t="s">
        <v>32</v>
      </c>
      <c r="E67" s="201"/>
      <c r="F67" s="2483"/>
      <c r="G67" s="2483"/>
      <c r="H67" s="2491"/>
      <c r="I67" s="138"/>
      <c r="J67" s="3242"/>
      <c r="K67" s="2493" t="s">
        <v>2241</v>
      </c>
      <c r="L67" s="1748">
        <f ca="1">IF(M49&gt;=10000,(8.25+(M49-10000)*0.01%),IF(AND(M49&gt;=8000,M49&lt;10000),(7.85+(M49-8000)*0.02%),IF(AND(M49&gt;=5000,M49&lt;8000),(6.65+(M49-5000)*0.04%),IF(AND(M49&gt;=2000,M49&lt;5000),(4.25+(PM49-2000)*0.08%),IF(AND(M49&gt;=1000,M49&lt;2000),(2.75+(M49-1000)*0.15%),IF(AND(M49&gt;=100,M49&lt;1000),(0.5+(M49-100)*0.25%),IF(AND(M49&gt;0,M49&lt;100),M49*0.5%)))))))</f>
        <v>15.263300000000001</v>
      </c>
      <c r="M67" s="24">
        <f ca="1">ROUND(L67*0.9,1)</f>
        <v>13.7</v>
      </c>
      <c r="Z67" s="2417"/>
      <c r="AI67" s="2418"/>
    </row>
    <row r="68" spans="1:35" ht="14.25" customHeight="1" thickBot="1">
      <c r="A68" s="208" t="s">
        <v>774</v>
      </c>
      <c r="B68" s="209" t="s">
        <v>2242</v>
      </c>
      <c r="C68" s="210">
        <f ca="1">IF(C67&lt;=0,0,ROUND(C67*D68,0))</f>
        <v>4312</v>
      </c>
      <c r="D68" s="211">
        <f>'数据-取费表'!B41</f>
        <v>5.6500000000000002E-2</v>
      </c>
      <c r="E68" s="212"/>
      <c r="F68" s="2483"/>
      <c r="G68" s="2483"/>
      <c r="H68" s="2491"/>
      <c r="I68" s="138"/>
      <c r="J68" s="3242"/>
      <c r="K68" s="2493" t="s">
        <v>2243</v>
      </c>
      <c r="L68" s="1748">
        <f ca="1">IF(M49&gt;10000,M49*0.5%,IF(AND(M49&gt;5000,M49&lt;=10000),M49*1%,IF(AND(M49&gt;1000,M49&lt;=5000),M49*2%,IF(AND(M49&gt;200,M49&lt;=1000),M49*3%,M49*5%))))</f>
        <v>400.66500000000002</v>
      </c>
      <c r="M68" s="24">
        <f ca="1">ROUND(L68,1)</f>
        <v>400.7</v>
      </c>
      <c r="Z68" s="2417"/>
      <c r="AI68" s="2418"/>
    </row>
    <row r="69" spans="1:35" s="2440" customFormat="1" ht="16.5" customHeight="1">
      <c r="A69" s="2494"/>
      <c r="B69" s="2495"/>
      <c r="C69" s="2496"/>
      <c r="D69" s="2497"/>
      <c r="E69" s="2498"/>
      <c r="F69" s="2162"/>
      <c r="G69" s="2162"/>
      <c r="H69" s="2161"/>
      <c r="I69" s="2412"/>
      <c r="J69" s="3242"/>
      <c r="K69" s="2493" t="s">
        <v>2244</v>
      </c>
      <c r="L69" s="2499"/>
      <c r="M69" s="24">
        <f ca="1">ROUND(SUM(M63:M68),0)</f>
        <v>1296</v>
      </c>
      <c r="N69" s="1749">
        <f ca="1">M69/M49</f>
        <v>1.6173112200965893E-2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86" t="s">
        <v>2245</v>
      </c>
      <c r="B70" s="3287"/>
      <c r="C70" s="3287"/>
      <c r="D70" s="3287"/>
      <c r="E70" s="3287"/>
      <c r="F70" s="3287"/>
      <c r="G70" s="3287"/>
      <c r="H70" s="328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277" t="s">
        <v>2226</v>
      </c>
      <c r="B71" s="3278"/>
      <c r="C71" s="1800"/>
      <c r="D71" s="1800" t="s">
        <v>2227</v>
      </c>
      <c r="E71" s="213" t="s">
        <v>2228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2246</v>
      </c>
      <c r="C72" s="207">
        <f ca="1">ROUND(D45/(1+'数据-取费表'!C42),0)</f>
        <v>76317</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2247</v>
      </c>
      <c r="C73" s="207">
        <f ca="1">C74+C78</f>
        <v>496</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2248</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2249</v>
      </c>
      <c r="C75" s="218"/>
      <c r="D75" s="200" t="s">
        <v>32</v>
      </c>
      <c r="E75" s="219" t="s">
        <v>2250</v>
      </c>
      <c r="F75" s="2505" t="s">
        <v>2251</v>
      </c>
      <c r="G75" s="219" t="s">
        <v>2252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2253</v>
      </c>
      <c r="C76" s="200">
        <f>IF(F75="购房发票",ROUND(C75*H75*D76,0),0)</f>
        <v>0</v>
      </c>
      <c r="D76" s="222">
        <v>0.05</v>
      </c>
      <c r="E76" s="3283" t="s">
        <v>2254</v>
      </c>
      <c r="F76" s="3282"/>
      <c r="G76" s="3282"/>
      <c r="H76" s="328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7" t="s">
        <v>2257</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2258</v>
      </c>
      <c r="C78" s="225">
        <f ca="1">ROUND(D45*D78/(1+'数据-取费表'!C42),0)</f>
        <v>496</v>
      </c>
      <c r="D78" s="226">
        <f>'数据-取费表'!B43</f>
        <v>6.5000000000000006E-3</v>
      </c>
      <c r="E78" s="3274" t="s">
        <v>2259</v>
      </c>
      <c r="F78" s="3275"/>
      <c r="G78" s="3275"/>
      <c r="H78" s="327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2260</v>
      </c>
      <c r="C79" s="207">
        <f ca="1">C72-C73</f>
        <v>75821</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2261</v>
      </c>
      <c r="C80" s="227">
        <f ca="1">IF(C79&lt;=0,0,C79/C73)</f>
        <v>152.86491935483872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2262</v>
      </c>
      <c r="C81" s="228">
        <f ca="1">ROUND(IF(C79&lt;=0,0,IF(C80&gt;=200%,C79*60%-C73*35%,IF(C80&gt;=100%,C79*50%-C73*15%,IF(C80&gt;=50%,C79*40%-C73*5%,IF(C80&lt;50%,C79*30%,0))))),0)</f>
        <v>45319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86" t="s">
        <v>2263</v>
      </c>
      <c r="B83" s="3287"/>
      <c r="C83" s="3287"/>
      <c r="D83" s="3287"/>
      <c r="E83" s="3287"/>
      <c r="F83" s="3287"/>
      <c r="G83" s="3287"/>
      <c r="H83" s="328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277" t="s">
        <v>2226</v>
      </c>
      <c r="B84" s="3278"/>
      <c r="C84" s="1800"/>
      <c r="D84" s="1800" t="s">
        <v>2227</v>
      </c>
      <c r="E84" s="213" t="s">
        <v>2228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2246</v>
      </c>
      <c r="C85" s="207">
        <f ca="1">ROUND(D45/(1+'数据-取费表'!C42),0)</f>
        <v>76317</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2247</v>
      </c>
      <c r="C86" s="207">
        <f ca="1">IF(H88="仅含出让金",C87+C90+C91+C92+C93+C94,C87+C91+C92+C93+C94)</f>
        <v>496</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2264</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2265</v>
      </c>
      <c r="C88" s="236"/>
      <c r="D88" s="226"/>
      <c r="E88" s="237" t="s">
        <v>2266</v>
      </c>
      <c r="F88" s="1796"/>
      <c r="G88" s="238"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2255</v>
      </c>
      <c r="C89" s="225">
        <f>ROUND(C88*D89,0)</f>
        <v>0</v>
      </c>
      <c r="D89" s="226">
        <f>'数据-取费表'!B48+'数据-取费表'!B49</f>
        <v>3.0499999999999999E-2</v>
      </c>
      <c r="E89" s="237" t="s">
        <v>2268</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2269</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2270</v>
      </c>
      <c r="B91" s="198" t="s">
        <v>2271</v>
      </c>
      <c r="C91" s="225">
        <f>IF(H91="——",成本法!C33,I91)</f>
        <v>0</v>
      </c>
      <c r="D91" s="226"/>
      <c r="E91" s="3274" t="s">
        <v>2272</v>
      </c>
      <c r="F91" s="3275"/>
      <c r="G91" s="3275"/>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2274</v>
      </c>
      <c r="B92" s="198" t="s">
        <v>2275</v>
      </c>
      <c r="C92" s="225">
        <f>ROUND((C87+C90+C91)*D92,0)</f>
        <v>0</v>
      </c>
      <c r="D92" s="226">
        <v>0.1</v>
      </c>
      <c r="E92" s="3274" t="s">
        <v>2276</v>
      </c>
      <c r="F92" s="3275"/>
      <c r="G92" s="3275"/>
      <c r="H92" s="327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2277</v>
      </c>
      <c r="B93" s="198" t="s">
        <v>2258</v>
      </c>
      <c r="C93" s="225">
        <f ca="1">ROUND(D45*D93/(1+'数据-取费表'!C42),0)</f>
        <v>496</v>
      </c>
      <c r="D93" s="226">
        <f>'数据-取费表'!B43</f>
        <v>6.5000000000000006E-3</v>
      </c>
      <c r="E93" s="3274" t="s">
        <v>2259</v>
      </c>
      <c r="F93" s="3275"/>
      <c r="G93" s="3275"/>
      <c r="H93" s="327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2278</v>
      </c>
      <c r="B94" s="198" t="s">
        <v>2279</v>
      </c>
      <c r="C94" s="236">
        <f>ROUND((C87+C90+C91)*D94,0)</f>
        <v>0</v>
      </c>
      <c r="D94" s="226">
        <v>0.2</v>
      </c>
      <c r="E94" s="3322" t="s">
        <v>2280</v>
      </c>
      <c r="F94" s="3323"/>
      <c r="G94" s="3323"/>
      <c r="H94" s="332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2260</v>
      </c>
      <c r="C95" s="207">
        <f ca="1">ROUND(C85-C86,0)</f>
        <v>75821</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2261</v>
      </c>
      <c r="C96" s="227">
        <f ca="1">IF(C95&lt;=0,0,C95/C86)</f>
        <v>152.86491935483872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2262</v>
      </c>
      <c r="C97" s="228">
        <f ca="1">ROUND(IF(C95&lt;=0,0,IF(C96&gt;=200%,C95*60%-C86*35%,IF(C96&gt;=100%,C95*50%-C86*15%,IF(C96&gt;=50%,C95*40%-C86*5%,IF(C96&lt;50%,C95*30%,0))))),0)</f>
        <v>45319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2281</v>
      </c>
      <c r="B99" s="2412"/>
      <c r="C99" s="2412"/>
      <c r="D99" s="2412"/>
      <c r="E99" s="2162"/>
      <c r="F99" s="2162"/>
      <c r="G99" s="2162"/>
      <c r="H99" s="2161"/>
      <c r="I99" s="138"/>
    </row>
    <row r="100" spans="1:35" ht="18.75" customHeight="1">
      <c r="A100" s="3166" t="s">
        <v>2282</v>
      </c>
      <c r="B100" s="3167"/>
      <c r="C100" s="3167"/>
      <c r="D100" s="3258"/>
      <c r="E100" s="3167" t="s">
        <v>2283</v>
      </c>
      <c r="F100" s="3167"/>
      <c r="G100" s="3167"/>
      <c r="H100" s="3258"/>
      <c r="I100" s="138"/>
    </row>
    <row r="101" spans="1:35" ht="18.75" customHeight="1">
      <c r="A101" s="3266" t="s">
        <v>2284</v>
      </c>
      <c r="B101" s="3267"/>
      <c r="C101" s="736" t="str">
        <f>C4</f>
        <v>成本法</v>
      </c>
      <c r="D101" s="737" t="str">
        <f>D4</f>
        <v>假设开发法</v>
      </c>
      <c r="E101" s="3238" t="s">
        <v>2285</v>
      </c>
      <c r="F101" s="3239"/>
      <c r="G101" s="2514" t="s">
        <v>2286</v>
      </c>
      <c r="H101" s="1045">
        <f ca="1">H118</f>
        <v>80133</v>
      </c>
      <c r="I101" s="138"/>
    </row>
    <row r="102" spans="1:35" ht="18.75" customHeight="1">
      <c r="A102" s="3268" t="s">
        <v>2287</v>
      </c>
      <c r="B102" s="2514" t="s">
        <v>2286</v>
      </c>
      <c r="C102" s="736">
        <f ca="1">C19</f>
        <v>95177</v>
      </c>
      <c r="D102" s="737">
        <f ca="1">D19</f>
        <v>70104</v>
      </c>
      <c r="E102" s="3238"/>
      <c r="F102" s="3239"/>
      <c r="G102" s="2514" t="s">
        <v>2288</v>
      </c>
      <c r="H102" s="371">
        <f ca="1">I118</f>
        <v>20974</v>
      </c>
      <c r="I102" s="138"/>
    </row>
    <row r="103" spans="1:35" ht="42.75" customHeight="1">
      <c r="A103" s="3268"/>
      <c r="B103" s="2514" t="s">
        <v>2288</v>
      </c>
      <c r="C103" s="738">
        <f ca="1">C20</f>
        <v>24911</v>
      </c>
      <c r="D103" s="739">
        <f ca="1">D20</f>
        <v>18349</v>
      </c>
      <c r="E103" s="3232" t="s">
        <v>2289</v>
      </c>
      <c r="F103" s="3233"/>
      <c r="G103" s="2515" t="s">
        <v>2290</v>
      </c>
      <c r="H103" s="1045">
        <f>IF(D36="正常操作",H104+H105+H106,H105+H106)</f>
        <v>0</v>
      </c>
      <c r="I103" s="138"/>
    </row>
    <row r="104" spans="1:35" ht="18.75" customHeight="1">
      <c r="A104" s="3268" t="s">
        <v>2291</v>
      </c>
      <c r="B104" s="2516" t="s">
        <v>2286</v>
      </c>
      <c r="C104" s="740">
        <f ca="1">H118</f>
        <v>80133</v>
      </c>
      <c r="D104" s="741"/>
      <c r="E104" s="2262" t="s">
        <v>2292</v>
      </c>
      <c r="F104" s="2254"/>
      <c r="G104" s="2515" t="s">
        <v>2290</v>
      </c>
      <c r="H104" s="1046">
        <f>IF(D36="同一抵押权人同一抵押物续贷",C36&amp;"（未扣减，详见特别提示）",C36)</f>
        <v>0</v>
      </c>
      <c r="I104" s="138"/>
    </row>
    <row r="105" spans="1:35" ht="18.75" customHeight="1" thickBot="1">
      <c r="A105" s="3280"/>
      <c r="B105" s="2517" t="s">
        <v>2288</v>
      </c>
      <c r="C105" s="742">
        <f ca="1">I118</f>
        <v>20974</v>
      </c>
      <c r="D105" s="743"/>
      <c r="E105" s="2262" t="s">
        <v>2293</v>
      </c>
      <c r="F105" s="2254"/>
      <c r="G105" s="2515" t="s">
        <v>2290</v>
      </c>
      <c r="H105" s="1046">
        <f>C37</f>
        <v>0</v>
      </c>
      <c r="I105" s="138"/>
    </row>
    <row r="106" spans="1:35" ht="18.75" customHeight="1">
      <c r="A106" s="2412" t="s">
        <v>2294</v>
      </c>
      <c r="B106" s="2412"/>
      <c r="C106" s="2412"/>
      <c r="D106" s="2412"/>
      <c r="E106" s="2518" t="s">
        <v>2295</v>
      </c>
      <c r="F106" s="2254"/>
      <c r="G106" s="2515" t="s">
        <v>2290</v>
      </c>
      <c r="H106" s="1046">
        <f>C38</f>
        <v>0</v>
      </c>
      <c r="I106" s="138"/>
    </row>
    <row r="107" spans="1:35" ht="18.75" customHeight="1">
      <c r="A107" s="138"/>
      <c r="B107" s="138"/>
      <c r="C107" s="138"/>
      <c r="D107" s="138"/>
      <c r="E107" s="3269" t="str">
        <f>IF(项目基本情况!E8="已注销","——","3.房地产抵押价值")</f>
        <v>3.房地产抵押价值</v>
      </c>
      <c r="F107" s="3239"/>
      <c r="G107" s="2514" t="s">
        <v>2286</v>
      </c>
      <c r="H107" s="1045">
        <f ca="1">IF(E107="——","——",H101-H103)</f>
        <v>80133</v>
      </c>
      <c r="I107" s="138"/>
    </row>
    <row r="108" spans="1:35" ht="18.75" customHeight="1">
      <c r="A108" s="138"/>
      <c r="B108" s="138"/>
      <c r="C108" s="138"/>
      <c r="D108" s="138"/>
      <c r="E108" s="3269"/>
      <c r="F108" s="3239"/>
      <c r="G108" s="2514" t="s">
        <v>2288</v>
      </c>
      <c r="H108" s="371">
        <f ca="1">ROUND(H107*10000/'数据-汇总表'!E3,0)</f>
        <v>20974</v>
      </c>
      <c r="I108" s="138"/>
    </row>
    <row r="109" spans="1:35" ht="18.75" customHeight="1">
      <c r="A109" s="138"/>
      <c r="B109" s="138"/>
      <c r="C109" s="138"/>
      <c r="D109" s="138"/>
      <c r="E109" s="3269" t="str">
        <f>IF(项目基本情况!E8="已注销及未注销","4.抵押担保权已注销时的房地产抵押价值",IF(项目基本情况!E8="已注销","3.抵押担保权已注销时的房地产抵押价值","——"))</f>
        <v>——</v>
      </c>
      <c r="F109" s="3239"/>
      <c r="G109" s="2514" t="s">
        <v>2286</v>
      </c>
      <c r="H109" s="348" t="str">
        <f>IF(E109="——","——",H101-H105-H106)</f>
        <v>——</v>
      </c>
      <c r="I109" s="138"/>
    </row>
    <row r="110" spans="1:35" ht="18.75" customHeight="1">
      <c r="A110" s="138"/>
      <c r="B110" s="138"/>
      <c r="C110" s="138"/>
      <c r="D110" s="138"/>
      <c r="E110" s="3269"/>
      <c r="F110" s="3239"/>
      <c r="G110" s="2514" t="s">
        <v>2288</v>
      </c>
      <c r="H110" s="371" t="str">
        <f>IF(H109="——","——",ROUND(H109*10000/'数据-汇总表'!E3,0))</f>
        <v>——</v>
      </c>
      <c r="I110" s="138"/>
    </row>
    <row r="111" spans="1:35" ht="18.75" customHeight="1">
      <c r="A111" s="138"/>
      <c r="B111" s="138"/>
      <c r="C111" s="138"/>
      <c r="D111" s="138"/>
      <c r="E111" s="3270" t="str">
        <f>IF(项目基本情况!E9="抵押净值",IF(OR(项目基本情况!E8="已注销",项目基本情况!E8="房地产抵押价值"),"4.抵押净值","5.抵押净值"),"——")</f>
        <v>4.抵押净值</v>
      </c>
      <c r="F111" s="3271"/>
      <c r="G111" s="2514" t="s">
        <v>2286</v>
      </c>
      <c r="H111" s="1045">
        <f ca="1">IF(E111="——","——",N59)</f>
        <v>30462</v>
      </c>
      <c r="I111" s="138"/>
    </row>
    <row r="112" spans="1:35" ht="18.75" customHeight="1" thickBot="1">
      <c r="A112" s="138"/>
      <c r="B112" s="138"/>
      <c r="C112" s="138"/>
      <c r="D112" s="138"/>
      <c r="E112" s="3272"/>
      <c r="F112" s="3273"/>
      <c r="G112" s="2519" t="s">
        <v>2288</v>
      </c>
      <c r="H112" s="790">
        <f ca="1">IF(E111="——","——",N61)</f>
        <v>7973</v>
      </c>
      <c r="I112" s="138"/>
    </row>
    <row r="113" spans="1:11" ht="18.75" customHeight="1">
      <c r="A113" s="138"/>
      <c r="B113" s="138"/>
      <c r="C113" s="138"/>
      <c r="D113" s="138"/>
      <c r="E113" s="3281" t="s">
        <v>2294</v>
      </c>
      <c r="F113" s="3281"/>
      <c r="G113" s="3281"/>
      <c r="H113" s="3281"/>
      <c r="I113" s="138"/>
    </row>
    <row r="114" spans="1:11" ht="3.75" customHeight="1">
      <c r="A114" s="2412"/>
      <c r="B114" s="2412"/>
      <c r="C114" s="2412"/>
      <c r="D114" s="2412"/>
      <c r="E114" s="2490"/>
      <c r="F114" s="2490"/>
      <c r="G114" s="2490"/>
      <c r="H114" s="2490"/>
      <c r="I114" s="2412"/>
    </row>
    <row r="115" spans="1:11" ht="18.75" customHeight="1">
      <c r="A115" s="3294" t="s">
        <v>2296</v>
      </c>
      <c r="B115" s="3295"/>
      <c r="C115" s="3295"/>
      <c r="D115" s="3295"/>
      <c r="E115" s="3295"/>
      <c r="F115" s="3295"/>
      <c r="G115" s="3295"/>
      <c r="H115" s="3295"/>
      <c r="I115" s="3296"/>
    </row>
    <row r="116" spans="1:11" ht="27" customHeight="1">
      <c r="A116" s="3147" t="s">
        <v>2297</v>
      </c>
      <c r="B116" s="3248" t="s">
        <v>2298</v>
      </c>
      <c r="C116" s="3248" t="s">
        <v>2299</v>
      </c>
      <c r="D116" s="3254" t="s">
        <v>2300</v>
      </c>
      <c r="E116" s="3255"/>
      <c r="F116" s="3290" t="s">
        <v>2301</v>
      </c>
      <c r="G116" s="3290"/>
      <c r="H116" s="3147" t="s">
        <v>2302</v>
      </c>
      <c r="I116" s="3147"/>
    </row>
    <row r="117" spans="1:11" ht="18.75" customHeight="1">
      <c r="A117" s="3147"/>
      <c r="B117" s="3249"/>
      <c r="C117" s="3249"/>
      <c r="D117" s="1794" t="s">
        <v>2303</v>
      </c>
      <c r="E117" s="1794" t="s">
        <v>2304</v>
      </c>
      <c r="F117" s="1794" t="s">
        <v>2303</v>
      </c>
      <c r="G117" s="1794" t="s">
        <v>2305</v>
      </c>
      <c r="H117" s="1794" t="s">
        <v>2303</v>
      </c>
      <c r="I117" s="1794" t="s">
        <v>2305</v>
      </c>
    </row>
    <row r="118" spans="1:11" ht="24.75" customHeight="1">
      <c r="A118" s="2520" t="str">
        <f>项目基本情况!S2</f>
        <v>东丽区融创融园B1出让国有建设用地使用权及在建建筑物房地产</v>
      </c>
      <c r="B118" s="1794">
        <f>M18</f>
        <v>38206.339999999997</v>
      </c>
      <c r="C118" s="1794">
        <f>M19</f>
        <v>13491.73</v>
      </c>
      <c r="D118" s="1794">
        <f ca="1">ROUND(IF(D32="总价",C34,E118*B118/10000),0)</f>
        <v>71587</v>
      </c>
      <c r="E118" s="1794">
        <f ca="1">ROUND(IF(C33="自定义",IF(D32="楼面单价",C34,D118*10000/B118),I118-G118),0)</f>
        <v>18737</v>
      </c>
      <c r="F118" s="1794">
        <f ca="1">ROUND(IF(D32="总价",C35,G118*B118/10000),0)</f>
        <v>8546</v>
      </c>
      <c r="G118" s="1794">
        <f ca="1">ROUND(IF(D32="楼面单价",C35,F118*10000/B118),0)</f>
        <v>2237</v>
      </c>
      <c r="H118" s="1794">
        <f ca="1">ROUND(IF(D32="总价",C32,I118*B118/10000),0)</f>
        <v>80133</v>
      </c>
      <c r="I118" s="1794">
        <f ca="1">ROUND(IF(D32="楼面单价",C32,H118*10000/B118),0)</f>
        <v>20974</v>
      </c>
    </row>
    <row r="119" spans="1:11" ht="18.75" customHeight="1">
      <c r="A119" s="3147" t="s">
        <v>2306</v>
      </c>
      <c r="B119" s="3147"/>
      <c r="C119" s="3147"/>
      <c r="D119" s="3250" t="str">
        <f ca="1">NUMBERSTRING(INT(D118*10000),2)&amp;"元整"</f>
        <v>柒亿壹仟伍佰捌拾柒万元整</v>
      </c>
      <c r="E119" s="3251"/>
      <c r="F119" s="3250" t="str">
        <f ca="1">NUMBERSTRING(INT(F118*10000),2)&amp;"元整"</f>
        <v>捌仟伍佰肆拾陆万元整</v>
      </c>
      <c r="G119" s="3251"/>
      <c r="H119" s="3250" t="str">
        <f ca="1">NUMBERSTRING(INT(H118*10000),2)&amp;"元整"</f>
        <v>捌亿零壹佰叁拾叁万元整</v>
      </c>
      <c r="I119" s="3251"/>
    </row>
    <row r="120" spans="1:11" ht="18.75" customHeight="1">
      <c r="A120" s="3245" t="str">
        <f>IF(项目基本情况!B9="房地产市场价值","",MID(E103,3,LEN(E103)-2))</f>
        <v>估价师知悉的法定优先受偿款</v>
      </c>
      <c r="B120" s="3246"/>
      <c r="C120" s="3247"/>
      <c r="D120" s="3245">
        <f>H103</f>
        <v>0</v>
      </c>
      <c r="E120" s="3246"/>
      <c r="F120" s="3246"/>
      <c r="G120" s="3246"/>
      <c r="H120" s="3246"/>
      <c r="I120" s="3247"/>
      <c r="K120" s="2417" t="str">
        <f>IF(D120=0,"故，本次评估不存在"&amp;A120,"故，本次评估"&amp;A120&amp;"为人民币"&amp;D120&amp;"万元整。")</f>
        <v>故，本次评估不存在估价师知悉的法定优先受偿款</v>
      </c>
    </row>
    <row r="121" spans="1:11" ht="18.75" customHeight="1">
      <c r="A121" s="3291" t="s">
        <v>2306</v>
      </c>
      <c r="B121" s="3292"/>
      <c r="C121" s="3293"/>
      <c r="D121" s="3250" t="str">
        <f>IF(D120=0,"零元整",NUMBERSTRING(INT(D120*10000),2)&amp;"元整")</f>
        <v>零元整</v>
      </c>
      <c r="E121" s="3252"/>
      <c r="F121" s="3252"/>
      <c r="G121" s="3252"/>
      <c r="H121" s="3252"/>
      <c r="I121" s="3251"/>
    </row>
    <row r="122" spans="1:11" ht="18.75" customHeight="1">
      <c r="A122" s="3256" t="str">
        <f>IF(项目基本情况!B9="房地产市场价值","",MID(E107,3,LEN(E107)-2))</f>
        <v>房地产抵押价值</v>
      </c>
      <c r="B122" s="3256"/>
      <c r="C122" s="3256"/>
      <c r="D122" s="3245">
        <f ca="1">H107</f>
        <v>80133</v>
      </c>
      <c r="E122" s="3246"/>
      <c r="F122" s="3246"/>
      <c r="G122" s="3246"/>
      <c r="H122" s="3246"/>
      <c r="I122" s="3247"/>
    </row>
    <row r="123" spans="1:11" ht="18.75" customHeight="1">
      <c r="A123" s="3147" t="s">
        <v>2306</v>
      </c>
      <c r="B123" s="3147"/>
      <c r="C123" s="3147"/>
      <c r="D123" s="3250" t="str">
        <f ca="1">NUMBERSTRING(INT(D122*10000),2)&amp;"元整"</f>
        <v>捌亿零壹佰叁拾叁万元整</v>
      </c>
      <c r="E123" s="3252"/>
      <c r="F123" s="3252"/>
      <c r="G123" s="3252"/>
      <c r="H123" s="3252"/>
      <c r="I123" s="3251"/>
    </row>
    <row r="124" spans="1:11" ht="18.75" customHeight="1">
      <c r="A124" s="3256" t="str">
        <f>IF(项目基本情况!B9="房地产市场价值","",MID(E109,3,LEN(E109)-2))</f>
        <v/>
      </c>
      <c r="B124" s="3256"/>
      <c r="C124" s="3256"/>
      <c r="D124" s="3245" t="str">
        <f>H109</f>
        <v>——</v>
      </c>
      <c r="E124" s="3246"/>
      <c r="F124" s="3246"/>
      <c r="G124" s="3246"/>
      <c r="H124" s="3246"/>
      <c r="I124" s="3247"/>
    </row>
    <row r="125" spans="1:11" ht="18.75" customHeight="1">
      <c r="A125" s="3147" t="s">
        <v>2306</v>
      </c>
      <c r="B125" s="3147"/>
      <c r="C125" s="3147"/>
      <c r="D125" s="3250" t="e">
        <f>NUMBERSTRING(INT(D124*10000),2)&amp;"元整"</f>
        <v>#VALUE!</v>
      </c>
      <c r="E125" s="3252"/>
      <c r="F125" s="3252"/>
      <c r="G125" s="3252"/>
      <c r="H125" s="3252"/>
      <c r="I125" s="3251"/>
    </row>
    <row r="126" spans="1:11" ht="18.75" customHeight="1">
      <c r="A126" s="3256" t="str">
        <f>IF(项目基本情况!B9="房地产市场价值","",MID(E111,3,LEN(E111)-2))</f>
        <v>抵押净值</v>
      </c>
      <c r="B126" s="3256"/>
      <c r="C126" s="3256"/>
      <c r="D126" s="3245">
        <f ca="1">H111</f>
        <v>30462</v>
      </c>
      <c r="E126" s="3246"/>
      <c r="F126" s="3246"/>
      <c r="G126" s="3246"/>
      <c r="H126" s="3246"/>
      <c r="I126" s="3247"/>
    </row>
    <row r="127" spans="1:11" ht="18.75" customHeight="1">
      <c r="A127" s="3147" t="s">
        <v>2306</v>
      </c>
      <c r="B127" s="3147"/>
      <c r="C127" s="3147"/>
      <c r="D127" s="3250" t="str">
        <f ca="1">NUMBERSTRING(INT(D126*10000),2)&amp;"元整"</f>
        <v>叁亿零肆佰陆拾贰万元整</v>
      </c>
      <c r="E127" s="3252"/>
      <c r="F127" s="3252"/>
      <c r="G127" s="3252"/>
      <c r="H127" s="3252"/>
      <c r="I127" s="3251"/>
    </row>
    <row r="128" spans="1:11" ht="21.75" customHeight="1">
      <c r="A128" s="3253" t="s">
        <v>2307</v>
      </c>
      <c r="B128" s="3253"/>
      <c r="C128" s="3253"/>
      <c r="D128" s="3253"/>
      <c r="E128" s="3253"/>
      <c r="F128" s="3253"/>
      <c r="G128" s="3253"/>
      <c r="H128" s="3253"/>
      <c r="I128" s="3253"/>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2310</v>
      </c>
      <c r="G135" s="2538"/>
      <c r="H135" s="2538"/>
      <c r="I135" s="2539" t="s">
        <v>2311</v>
      </c>
    </row>
    <row r="136" spans="1:35" ht="21.75" customHeight="1">
      <c r="A136" s="795"/>
      <c r="B136" s="2540"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2313</v>
      </c>
    </row>
    <row r="139" spans="1:35" ht="21.75" customHeight="1">
      <c r="A139" s="795"/>
      <c r="B139" s="2540" t="s">
        <v>2314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2313</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9" workbookViewId="0">
      <selection activeCell="F34" sqref="F3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9" t="s">
        <v>2417</v>
      </c>
      <c r="D1" s="242"/>
      <c r="E1" s="242"/>
      <c r="F1" s="242"/>
      <c r="G1" s="1379">
        <f>MATCH(B1,'数据-取费表'!A6:A16,0)+5</f>
        <v>9</v>
      </c>
      <c r="H1" s="1282" t="str">
        <f>IF(ISERROR(FIND("住宅",B1)),"非住宅","住宅")</f>
        <v>非住宅</v>
      </c>
    </row>
    <row r="2" spans="1:8" s="244" customFormat="1" ht="18" customHeight="1">
      <c r="A2" s="245" t="s">
        <v>2316</v>
      </c>
      <c r="B2" s="246">
        <f ca="1">ROUND(IF(D2="——",C52/10000,C52/10000-E2),0)</f>
        <v>14539</v>
      </c>
      <c r="C2" s="243" t="s">
        <v>2317</v>
      </c>
      <c r="D2" s="2543" t="s">
        <v>70</v>
      </c>
      <c r="E2" s="1440" t="e">
        <f ca="1">SUMIF(INDIRECT("'"&amp;G2&amp;"'"&amp;"!A:A"),"承租人权益价值",INDIRECT("'"&amp;G2&amp;"'"&amp;"!c:c"))</f>
        <v>#REF!</v>
      </c>
      <c r="F2" s="2544" t="s">
        <v>2317</v>
      </c>
      <c r="G2" s="2545"/>
    </row>
    <row r="3" spans="1:8" s="244" customFormat="1" ht="18" customHeight="1" thickBot="1">
      <c r="A3" s="247" t="s">
        <v>2318</v>
      </c>
      <c r="B3" s="248">
        <f ca="1">ROUND(B2*10000/(IF(B1="",'数据-汇总表'!E3,INDIRECT("'数据-取费表'!k"&amp;$G$1))),0)</f>
        <v>3805</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C6+C7+C8</f>
        <v>0</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IF(项目基本情况!B8="出让",0,'数据-取费表'!B48+'数据-取费表'!B49)</f>
        <v>3.0499999999999999E-2</v>
      </c>
      <c r="G7" s="263"/>
    </row>
    <row r="8" spans="1:8" s="267" customFormat="1">
      <c r="A8" s="949" t="s">
        <v>2330</v>
      </c>
      <c r="B8" s="259" t="s">
        <v>2331</v>
      </c>
      <c r="C8" s="264">
        <f>IF(G8="已包含在土地购买价格中",0,C9+C10)</f>
        <v>0</v>
      </c>
      <c r="D8" s="266"/>
      <c r="E8" s="264"/>
      <c r="F8" s="265"/>
      <c r="G8" s="2546" t="s">
        <v>1145</v>
      </c>
    </row>
    <row r="9" spans="1:8" s="258" customFormat="1" ht="13.5" customHeight="1">
      <c r="A9" s="950" t="s">
        <v>800</v>
      </c>
      <c r="B9" s="268" t="s">
        <v>2332</v>
      </c>
      <c r="C9" s="269">
        <f ca="1">ROUND(D9*E9,0)</f>
        <v>8945659</v>
      </c>
      <c r="D9" s="1032">
        <f ca="1">IF(B1="",'数据-汇总表'!E5,IF(INDIRECT("'数据-取费表'!c"&amp;$G$1)="住宅",INDIRECT("'数据-取费表'!k"&amp;$G$1),0))</f>
        <v>30847.1</v>
      </c>
      <c r="E9" s="269">
        <f>'数据-取费表'!B27</f>
        <v>290</v>
      </c>
      <c r="F9" s="265"/>
      <c r="G9" s="270"/>
    </row>
    <row r="10" spans="1:8" s="258" customFormat="1" ht="13.5" customHeight="1">
      <c r="A10" s="950" t="s">
        <v>801</v>
      </c>
      <c r="B10" s="268" t="s">
        <v>2334</v>
      </c>
      <c r="C10" s="269">
        <f ca="1">ROUND(D10*E10,0)</f>
        <v>2354957</v>
      </c>
      <c r="D10" s="1032">
        <f ca="1">IF(B1="",'数据-汇总表'!E6,IF(INDIRECT("'数据-取费表'!c"&amp;$G$1)="住宅",INDIRECT("'数据-取费表'!s"&amp;$G$1),INDIRECT("'数据-取费表'!k"&amp;$G$1)+INDIRECT("'数据-取费表'!s"&amp;$G$1)))</f>
        <v>7359.239999999998</v>
      </c>
      <c r="E10" s="269">
        <f>'数据-取费表'!B28</f>
        <v>320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t="str">
        <f>IF(G19="已包含在土地取得成本中","0",ROUND(D19*E19,0))</f>
        <v>0</v>
      </c>
      <c r="D19" s="1036">
        <f ca="1">D9+D10</f>
        <v>38206.339999999997</v>
      </c>
      <c r="E19" s="255">
        <f>'数据-取费表'!B31</f>
        <v>200</v>
      </c>
      <c r="F19" s="275"/>
      <c r="G19" s="2546" t="s">
        <v>3181</v>
      </c>
    </row>
    <row r="20" spans="1:7" s="258" customFormat="1" ht="13.5" customHeight="1">
      <c r="A20" s="299" t="s">
        <v>2428</v>
      </c>
      <c r="B20" s="254" t="s">
        <v>2429</v>
      </c>
      <c r="C20" s="276">
        <f>ROUND((C5+C19)*F20,0)</f>
        <v>0</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80">
        <f ca="1">ROUND(SUM(C23:C25),0)</f>
        <v>0</v>
      </c>
      <c r="D22" s="279">
        <f ca="1">C26</f>
        <v>1E-3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0</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0</v>
      </c>
      <c r="D24" s="282"/>
      <c r="E24" s="282"/>
      <c r="F24" s="283"/>
      <c r="G24" s="284" t="s">
        <v>2440</v>
      </c>
    </row>
    <row r="25" spans="1:7" s="258" customFormat="1" ht="24">
      <c r="A25" s="951" t="s">
        <v>2330</v>
      </c>
      <c r="B25" s="259" t="s">
        <v>2441</v>
      </c>
      <c r="C25" s="1381">
        <f ca="1">ROUND(IF('数据-取费表'!B22&lt;=1,C20*F22*'数据-取费表'!B22/2,C20*(POWER((1+F22),'数据-取费表'!B22/2)-1)),0)</f>
        <v>0</v>
      </c>
      <c r="D25" s="282"/>
      <c r="E25" s="285"/>
      <c r="F25" s="283"/>
      <c r="G25" s="286" t="s">
        <v>2442</v>
      </c>
    </row>
    <row r="26" spans="1:7" s="258" customFormat="1">
      <c r="A26" s="951"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0</v>
      </c>
      <c r="D27" s="279">
        <f ca="1">C29</f>
        <v>3.0000000000000001E-3</v>
      </c>
      <c r="E27" s="280" t="s">
        <v>2368</v>
      </c>
      <c r="F27" s="290">
        <f ca="1">IF(B1="",'数据-取费表'!Q16,INDIRECT("'数据-取费表'!q"&amp;$G$1))</f>
        <v>0.15</v>
      </c>
      <c r="G27" s="291" t="s">
        <v>2369</v>
      </c>
    </row>
    <row r="28" spans="1:7" s="258" customFormat="1" ht="13.5" customHeight="1">
      <c r="A28" s="951" t="s">
        <v>791</v>
      </c>
      <c r="B28" s="292" t="s">
        <v>2370</v>
      </c>
      <c r="C28" s="293">
        <f ca="1">ROUND((C5+C19+C20)*F27,0)</f>
        <v>0</v>
      </c>
      <c r="D28" s="279"/>
      <c r="E28" s="280"/>
      <c r="F28" s="290"/>
      <c r="G28" s="291"/>
    </row>
    <row r="29" spans="1:7" s="258" customFormat="1" ht="13.5" customHeight="1">
      <c r="A29" s="951" t="s">
        <v>792</v>
      </c>
      <c r="B29" s="292" t="s">
        <v>2371</v>
      </c>
      <c r="C29" s="282">
        <f ca="1">ROUND(C21*F27,4)</f>
        <v>3.0000000000000001E-3</v>
      </c>
      <c r="D29" s="279"/>
      <c r="E29" s="280"/>
      <c r="F29" s="290"/>
      <c r="G29" s="291"/>
    </row>
    <row r="30" spans="1:7" s="258" customFormat="1" ht="13.5" customHeight="1">
      <c r="A30" s="299" t="s">
        <v>2372</v>
      </c>
      <c r="B30" s="254" t="s">
        <v>2373</v>
      </c>
      <c r="C30" s="279">
        <f>ROUND(F30/(1+'数据-取费表'!C42),4)</f>
        <v>5.3800000000000001E-2</v>
      </c>
      <c r="D30" s="280" t="s">
        <v>2368</v>
      </c>
      <c r="E30" s="285"/>
      <c r="F30" s="281">
        <f>'数据-取费表'!B41</f>
        <v>5.6500000000000002E-2</v>
      </c>
      <c r="G30" s="278" t="s">
        <v>2374</v>
      </c>
    </row>
    <row r="31" spans="1:7" ht="16.5" customHeight="1">
      <c r="A31" s="253">
        <v>1</v>
      </c>
      <c r="B31" s="254" t="s">
        <v>2375</v>
      </c>
      <c r="C31" s="255">
        <f ca="1">ROUND((C5+C19+C20+C22+C27)/(1-C21-D22-D27-C30),0)</f>
        <v>0</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109768865</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95515850</v>
      </c>
      <c r="D34" s="261"/>
      <c r="E34" s="264"/>
      <c r="F34" s="301"/>
      <c r="G34" s="263"/>
    </row>
    <row r="35" spans="1:7" ht="13.5" customHeight="1">
      <c r="A35" s="951" t="s">
        <v>796</v>
      </c>
      <c r="B35" s="259" t="s">
        <v>2381</v>
      </c>
      <c r="C35" s="264">
        <f ca="1">ROUND(C34*F35,0)</f>
        <v>2865476</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2313533</v>
      </c>
      <c r="D36" s="264"/>
      <c r="E36" s="264"/>
      <c r="F36" s="303">
        <f>'数据-取费表'!B34</f>
        <v>0.03</v>
      </c>
      <c r="G36" s="304" t="s">
        <v>2384</v>
      </c>
    </row>
    <row r="37" spans="1:7" s="302" customFormat="1" ht="13.5" customHeight="1">
      <c r="A37" s="951" t="s">
        <v>798</v>
      </c>
      <c r="B37" s="259" t="s">
        <v>2385</v>
      </c>
      <c r="C37" s="293">
        <f ca="1">ROUND(E37*D37,0)</f>
        <v>7641268</v>
      </c>
      <c r="D37" s="261">
        <f ca="1">D19</f>
        <v>38206.339999999997</v>
      </c>
      <c r="E37" s="293">
        <f>'数据-取费表'!B35</f>
        <v>200</v>
      </c>
      <c r="F37" s="303"/>
      <c r="G37" s="305"/>
    </row>
    <row r="38" spans="1:7" ht="13.5" customHeight="1">
      <c r="A38" s="951" t="s">
        <v>799</v>
      </c>
      <c r="B38" s="259" t="s">
        <v>2387</v>
      </c>
      <c r="C38" s="264">
        <f ca="1">ROUND(C34*F38,0)</f>
        <v>1432738</v>
      </c>
      <c r="D38" s="264"/>
      <c r="E38" s="264"/>
      <c r="F38" s="303">
        <f>'数据-取费表'!B36</f>
        <v>1.4999999999999999E-2</v>
      </c>
      <c r="G38" s="263" t="s">
        <v>2382</v>
      </c>
    </row>
    <row r="39" spans="1:7" s="258" customFormat="1" ht="13.5" customHeight="1">
      <c r="A39" s="299" t="s">
        <v>2388</v>
      </c>
      <c r="B39" s="254" t="s">
        <v>2389</v>
      </c>
      <c r="C39" s="276">
        <f ca="1">ROUND(C33*F20,0)</f>
        <v>2195377</v>
      </c>
      <c r="D39" s="276"/>
      <c r="E39" s="276"/>
      <c r="F39" s="277"/>
      <c r="G39" s="278" t="s">
        <v>2390</v>
      </c>
    </row>
    <row r="40" spans="1:7" s="258" customFormat="1" ht="13.5" customHeight="1">
      <c r="A40" s="299" t="s">
        <v>2391</v>
      </c>
      <c r="B40" s="254" t="s">
        <v>2392</v>
      </c>
      <c r="C40" s="1727">
        <f>F21</f>
        <v>0.02</v>
      </c>
      <c r="D40" s="280" t="s">
        <v>2393</v>
      </c>
      <c r="E40" s="276"/>
      <c r="F40" s="277"/>
      <c r="G40" s="278" t="s">
        <v>2394</v>
      </c>
    </row>
    <row r="41" spans="1:7" s="258" customFormat="1" ht="13.5" customHeight="1">
      <c r="A41" s="299" t="s">
        <v>2395</v>
      </c>
      <c r="B41" s="254" t="s">
        <v>2396</v>
      </c>
      <c r="C41" s="276">
        <f ca="1">ROUND(SUM(C42:C43),0)</f>
        <v>5318301</v>
      </c>
      <c r="D41" s="279">
        <f ca="1">C44</f>
        <v>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5214021</v>
      </c>
      <c r="D42" s="282"/>
      <c r="E42" s="282"/>
      <c r="F42" s="283"/>
      <c r="G42" s="3325" t="s">
        <v>2445</v>
      </c>
    </row>
    <row r="43" spans="1:7" ht="13.5" customHeight="1">
      <c r="A43" s="951" t="s">
        <v>792</v>
      </c>
      <c r="B43" s="259" t="s">
        <v>2399</v>
      </c>
      <c r="C43" s="282">
        <f ca="1">ROUND(IF('数据-取费表'!B22&lt;=1,C39*F22*'数据-取费表'!B20/2,C39*(POWER((1+F22),'数据-取费表'!B20/2)-1)),0)</f>
        <v>104280</v>
      </c>
      <c r="D43" s="282"/>
      <c r="E43" s="282"/>
      <c r="F43" s="283"/>
      <c r="G43" s="3326"/>
    </row>
    <row r="44" spans="1:7" ht="13.5" customHeight="1">
      <c r="A44" s="951" t="s">
        <v>793</v>
      </c>
      <c r="B44" s="259" t="s">
        <v>2400</v>
      </c>
      <c r="C44" s="282">
        <f ca="1">ROUND(IF('数据-取费表'!B22&lt;=1,C40*F22*'数据-取费表'!B20/2,C40*(POWER((1+F22),'数据-取费表'!B20/2)-1)),4)</f>
        <v>1E-3</v>
      </c>
      <c r="D44" s="282"/>
      <c r="E44" s="282"/>
      <c r="F44" s="283"/>
      <c r="G44" s="3327"/>
    </row>
    <row r="45" spans="1:7" s="258" customFormat="1" ht="13.5" customHeight="1">
      <c r="A45" s="299" t="s">
        <v>2401</v>
      </c>
      <c r="B45" s="288" t="s">
        <v>2367</v>
      </c>
      <c r="C45" s="289">
        <f ca="1">C46</f>
        <v>16794636</v>
      </c>
      <c r="D45" s="279">
        <f ca="1">C47</f>
        <v>3.0000000000000001E-3</v>
      </c>
      <c r="E45" s="280" t="s">
        <v>2393</v>
      </c>
      <c r="F45" s="290"/>
      <c r="G45" s="291" t="s">
        <v>2402</v>
      </c>
    </row>
    <row r="46" spans="1:7" s="258" customFormat="1" ht="13.5" customHeight="1">
      <c r="A46" s="951" t="s">
        <v>791</v>
      </c>
      <c r="B46" s="292" t="s">
        <v>2403</v>
      </c>
      <c r="C46" s="293">
        <f ca="1">ROUND((C33+C39)*F27,0)</f>
        <v>16794636</v>
      </c>
      <c r="D46" s="307"/>
      <c r="E46" s="280"/>
      <c r="F46" s="290"/>
      <c r="G46" s="291"/>
    </row>
    <row r="47" spans="1:7" s="258" customFormat="1" ht="13.5" customHeight="1">
      <c r="A47" s="951" t="s">
        <v>792</v>
      </c>
      <c r="B47" s="292" t="s">
        <v>2404</v>
      </c>
      <c r="C47" s="282">
        <f ca="1">ROUND(C40*F27,4)</f>
        <v>3.0000000000000001E-3</v>
      </c>
      <c r="D47" s="307"/>
      <c r="E47" s="280"/>
      <c r="F47" s="290"/>
      <c r="G47" s="291"/>
    </row>
    <row r="48" spans="1:7" s="258" customFormat="1" ht="13.5" customHeight="1">
      <c r="A48" s="299" t="s">
        <v>2366</v>
      </c>
      <c r="B48" s="254" t="s">
        <v>2405</v>
      </c>
      <c r="C48" s="306">
        <f>ROUND(F30/(1+'数据-取费表'!C42),4)</f>
        <v>5.3800000000000001E-2</v>
      </c>
      <c r="D48" s="280" t="s">
        <v>2393</v>
      </c>
      <c r="E48" s="276"/>
      <c r="F48" s="281"/>
      <c r="G48" s="278" t="s">
        <v>2406</v>
      </c>
    </row>
    <row r="49" spans="1:7" ht="16.5" customHeight="1">
      <c r="A49" s="299" t="s">
        <v>2372</v>
      </c>
      <c r="B49" s="254" t="s">
        <v>2446</v>
      </c>
      <c r="C49" s="276">
        <f ca="1">ROUND((C33+C39+C41+C45)/(1-C40-D41-D45-C48),0)</f>
        <v>145388396</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145388396</v>
      </c>
      <c r="D51" s="276"/>
      <c r="E51" s="276"/>
      <c r="F51" s="308"/>
      <c r="G51" s="278" t="s">
        <v>2414</v>
      </c>
    </row>
    <row r="52" spans="1:7" s="252" customFormat="1" ht="16.5" thickBot="1">
      <c r="A52" s="309" t="s">
        <v>2415</v>
      </c>
      <c r="B52" s="310"/>
      <c r="C52" s="311">
        <f ca="1">C31+C51</f>
        <v>145388396</v>
      </c>
      <c r="D52" s="310"/>
      <c r="E52" s="310"/>
      <c r="F52" s="310"/>
      <c r="G52" s="312"/>
    </row>
    <row r="55" spans="1:7" ht="15">
      <c r="B55" s="314" t="s">
        <v>2416</v>
      </c>
      <c r="C55" s="315"/>
    </row>
    <row r="56" spans="1:7">
      <c r="B56" s="317" t="s">
        <v>1508</v>
      </c>
      <c r="C56" s="319">
        <f ca="1">1-C57</f>
        <v>0</v>
      </c>
    </row>
    <row r="57" spans="1:7">
      <c r="B57" s="317" t="s">
        <v>1509</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E25" sqref="E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c r="C1" s="242"/>
      <c r="D1" s="242"/>
      <c r="E1" s="242"/>
      <c r="F1" s="242"/>
      <c r="G1" s="1379">
        <f>MATCH(B1,'数据-取费表'!A6:A16,0)+5</f>
        <v>9</v>
      </c>
    </row>
    <row r="2" spans="1:9" s="244" customFormat="1" ht="18" customHeight="1">
      <c r="A2" s="245" t="s">
        <v>2316</v>
      </c>
      <c r="B2" s="246">
        <f ca="1">IF(D2="——",C52,C52-E2)</f>
        <v>95177</v>
      </c>
      <c r="C2" s="243" t="s">
        <v>2317</v>
      </c>
      <c r="D2" s="2543" t="s">
        <v>70</v>
      </c>
      <c r="E2" s="1440" t="e">
        <f ca="1">SUMIF(INDIRECT("'"&amp;G2&amp;"'"&amp;"!A:A"),"承租人权益价值",INDIRECT("'"&amp;G2&amp;"'"&amp;"!c:c"))</f>
        <v>#REF!</v>
      </c>
      <c r="F2" s="2544" t="s">
        <v>2317</v>
      </c>
      <c r="G2" s="2545"/>
    </row>
    <row r="3" spans="1:9" s="244" customFormat="1" ht="18" customHeight="1" thickBot="1">
      <c r="A3" s="247" t="s">
        <v>2318</v>
      </c>
      <c r="B3" s="248">
        <f ca="1">ROUND(B2*10000/(IF(B1="",'数据-汇总表'!E3,INDIRECT("'数据-取费表'!k"&amp;$G$1))),0)</f>
        <v>24911</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69957</v>
      </c>
      <c r="D5" s="255" t="s">
        <v>2323</v>
      </c>
      <c r="E5" s="256" t="s">
        <v>2324</v>
      </c>
      <c r="F5" s="256" t="s">
        <v>2325</v>
      </c>
      <c r="G5" s="257"/>
    </row>
    <row r="6" spans="1:9" s="258" customFormat="1" ht="13.5" customHeight="1">
      <c r="A6" s="949" t="s">
        <v>2326</v>
      </c>
      <c r="B6" s="259" t="s">
        <v>2327</v>
      </c>
      <c r="C6" s="260">
        <f>'土地比较法-住宅、综合'!B2</f>
        <v>66811</v>
      </c>
      <c r="D6" s="261"/>
      <c r="E6" s="262"/>
      <c r="F6" s="262"/>
      <c r="G6" s="263"/>
    </row>
    <row r="7" spans="1:9" s="258" customFormat="1" ht="13.5" customHeight="1">
      <c r="A7" s="949" t="s">
        <v>2328</v>
      </c>
      <c r="B7" s="259" t="s">
        <v>2329</v>
      </c>
      <c r="C7" s="264">
        <f>ROUND(C6*F7,0)</f>
        <v>2038</v>
      </c>
      <c r="D7" s="264"/>
      <c r="E7" s="262"/>
      <c r="F7" s="265">
        <f>IF(项目基本情况!B8="出让",0,'数据-取费表'!B48+'数据-取费表'!B49)</f>
        <v>3.0499999999999999E-2</v>
      </c>
      <c r="G7" s="263"/>
    </row>
    <row r="8" spans="1:9" s="267" customFormat="1">
      <c r="A8" s="949" t="s">
        <v>2330</v>
      </c>
      <c r="B8" s="259" t="s">
        <v>2331</v>
      </c>
      <c r="C8" s="264">
        <f>IF(G8="已包含在土地购买价格中","0",IF(B1="",'数据-取费表'!B29,IF(G9="全部缴纳",C9+C10,H9)))</f>
        <v>1108</v>
      </c>
      <c r="D8" s="266"/>
      <c r="E8" s="264"/>
      <c r="F8" s="265"/>
      <c r="G8" s="2546" t="s">
        <v>3788</v>
      </c>
    </row>
    <row r="9" spans="1:9" s="258" customFormat="1" ht="13.5" customHeight="1">
      <c r="A9" s="950" t="s">
        <v>800</v>
      </c>
      <c r="B9" s="268" t="s">
        <v>2332</v>
      </c>
      <c r="C9" s="269">
        <f ca="1">ROUND(D9*E9/10000,0)</f>
        <v>895</v>
      </c>
      <c r="D9" s="1032">
        <f ca="1">IF(B1="",'数据-汇总表'!E5,IF(INDIRECT("'数据-取费表'!c"&amp;$G$1)="住宅",INDIRECT("'数据-取费表'!k"&amp;$G$1),0))</f>
        <v>30847.1</v>
      </c>
      <c r="E9" s="269">
        <f>'数据-取费表'!B27</f>
        <v>290</v>
      </c>
      <c r="F9" s="265"/>
      <c r="G9" s="2547" t="s">
        <v>3789</v>
      </c>
      <c r="H9" s="1390">
        <v>1108</v>
      </c>
      <c r="I9" s="2548" t="s">
        <v>2333</v>
      </c>
    </row>
    <row r="10" spans="1:9" s="258" customFormat="1" ht="13.5" customHeight="1">
      <c r="A10" s="950" t="s">
        <v>801</v>
      </c>
      <c r="B10" s="268" t="s">
        <v>2334</v>
      </c>
      <c r="C10" s="269">
        <f ca="1">ROUND(D10*E10/10000,0)</f>
        <v>235</v>
      </c>
      <c r="D10" s="1032">
        <f ca="1">IF(B1="",'数据-汇总表'!E6,IF(INDIRECT("'数据-取费表'!c"&amp;$G$1)="住宅",INDIRECT("'数据-取费表'!s"&amp;$G$1),INDIRECT("'数据-取费表'!k"&amp;$G$1)+INDIRECT("'数据-取费表'!s"&amp;$G$1)))</f>
        <v>7359.239999999998</v>
      </c>
      <c r="E10" s="269">
        <f>'数据-取费表'!B28</f>
        <v>320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38206.339999999997</v>
      </c>
      <c r="E19" s="255">
        <f>'数据-取费表'!B31</f>
        <v>200</v>
      </c>
      <c r="F19" s="275"/>
      <c r="G19" s="2546" t="s">
        <v>3181</v>
      </c>
    </row>
    <row r="20" spans="1:7" s="258" customFormat="1" ht="13.5" customHeight="1">
      <c r="A20" s="299" t="s">
        <v>2347</v>
      </c>
      <c r="B20" s="254" t="s">
        <v>2348</v>
      </c>
      <c r="C20" s="276">
        <f>ROUND((C5+C19)*F20,0)</f>
        <v>1399</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4">
        <f ca="1">ROUND(SUM(C23:C25),0)</f>
        <v>3356</v>
      </c>
      <c r="D22" s="279">
        <f ca="1">C26</f>
        <v>5.0000000000000001E-4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3323</v>
      </c>
      <c r="D23" s="282"/>
      <c r="E23" s="282"/>
      <c r="F23" s="283"/>
      <c r="G23" s="284" t="s">
        <v>2358</v>
      </c>
    </row>
    <row r="24" spans="1:7" s="258" customFormat="1" ht="13.5" customHeight="1">
      <c r="A24" s="951"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33</v>
      </c>
      <c r="D25" s="282"/>
      <c r="E25" s="285"/>
      <c r="F25" s="283"/>
      <c r="G25" s="286" t="s">
        <v>2364</v>
      </c>
    </row>
    <row r="26" spans="1:7" s="258" customFormat="1">
      <c r="A26" s="951" t="s">
        <v>795</v>
      </c>
      <c r="B26" s="259" t="s">
        <v>2365</v>
      </c>
      <c r="C26" s="282">
        <f ca="1">ROUND(IF('数据-取费表'!B22&lt;=1,F21*F22*'数据-取费表'!B23/2,F21*(POWER((1+F22),'数据-取费表'!B23/2)-1)),4)</f>
        <v>5.0000000000000001E-4</v>
      </c>
      <c r="D26" s="282"/>
      <c r="E26" s="285"/>
      <c r="F26" s="283"/>
      <c r="G26" s="287"/>
    </row>
    <row r="27" spans="1:7" s="258" customFormat="1" ht="24.75">
      <c r="A27" s="299" t="s">
        <v>2366</v>
      </c>
      <c r="B27" s="288" t="s">
        <v>2367</v>
      </c>
      <c r="C27" s="289">
        <f ca="1">C28</f>
        <v>5352</v>
      </c>
      <c r="D27" s="279">
        <f ca="1">C29</f>
        <v>1.5E-3</v>
      </c>
      <c r="E27" s="280" t="s">
        <v>2368</v>
      </c>
      <c r="F27" s="290">
        <f ca="1">IF(B1="",'数据-取费表'!Q16,INDIRECT("'数据-取费表'!q"&amp;$G$1))</f>
        <v>0.15</v>
      </c>
      <c r="G27" s="291" t="s">
        <v>2369</v>
      </c>
    </row>
    <row r="28" spans="1:7" s="258" customFormat="1" ht="13.5" customHeight="1">
      <c r="A28" s="951" t="s">
        <v>791</v>
      </c>
      <c r="B28" s="292" t="s">
        <v>2370</v>
      </c>
      <c r="C28" s="293">
        <f ca="1">ROUND((C5+C19+C20)*F27*'数据-取费表'!B21/'数据-取费表'!B20,0)</f>
        <v>5352</v>
      </c>
      <c r="D28" s="279"/>
      <c r="E28" s="280"/>
      <c r="F28" s="290"/>
      <c r="G28" s="291"/>
    </row>
    <row r="29" spans="1:7" s="258" customFormat="1" ht="13.5" customHeight="1">
      <c r="A29" s="951" t="s">
        <v>792</v>
      </c>
      <c r="B29" s="292" t="s">
        <v>2371</v>
      </c>
      <c r="C29" s="282">
        <f ca="1">ROUND(C21*F27*'数据-取费表'!B21/'数据-取费表'!B20,4)</f>
        <v>1.5E-3</v>
      </c>
      <c r="D29" s="279"/>
      <c r="E29" s="280"/>
      <c r="F29" s="290"/>
      <c r="G29" s="291"/>
    </row>
    <row r="30" spans="1:7" s="258" customFormat="1" ht="13.5" customHeight="1">
      <c r="A30" s="299" t="s">
        <v>2372</v>
      </c>
      <c r="B30" s="254" t="s">
        <v>2373</v>
      </c>
      <c r="C30" s="279">
        <f>ROUND(F30/(1+'数据-取费表'!C42),4)</f>
        <v>5.3800000000000001E-2</v>
      </c>
      <c r="D30" s="280" t="s">
        <v>2368</v>
      </c>
      <c r="E30" s="285"/>
      <c r="F30" s="281">
        <f>'数据-取费表'!B41</f>
        <v>5.6500000000000002E-2</v>
      </c>
      <c r="G30" s="278" t="s">
        <v>2374</v>
      </c>
    </row>
    <row r="31" spans="1:7" ht="16.5" customHeight="1">
      <c r="A31" s="253">
        <v>1</v>
      </c>
      <c r="B31" s="254" t="s">
        <v>2375</v>
      </c>
      <c r="C31" s="255">
        <f ca="1">ROUND((C5+C19+C20+C22+C27)/(1-C21-D22-D27-C30),0)</f>
        <v>86631</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6587</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5732</v>
      </c>
      <c r="D34" s="261"/>
      <c r="E34" s="264"/>
      <c r="F34" s="301">
        <f ca="1">IF('数据-取费表'!B24=0,1,IF(B1="",'数据-取费表'!N16,INDIRECT("'数据-取费表'!n"&amp;$G$1)))</f>
        <v>0.6</v>
      </c>
      <c r="G34" s="263" t="s">
        <v>2380</v>
      </c>
    </row>
    <row r="35" spans="1:7" ht="13.5" customHeight="1">
      <c r="A35" s="951" t="s">
        <v>796</v>
      </c>
      <c r="B35" s="259" t="s">
        <v>2381</v>
      </c>
      <c r="C35" s="264">
        <f ca="1">ROUND(C34*F35,0)</f>
        <v>172</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139</v>
      </c>
      <c r="D36" s="264"/>
      <c r="E36" s="264"/>
      <c r="F36" s="303">
        <f>'数据-取费表'!B34</f>
        <v>0.03</v>
      </c>
      <c r="G36" s="304" t="s">
        <v>2384</v>
      </c>
    </row>
    <row r="37" spans="1:7" s="302" customFormat="1" ht="13.5" customHeight="1">
      <c r="A37" s="951" t="s">
        <v>798</v>
      </c>
      <c r="B37" s="259" t="s">
        <v>2385</v>
      </c>
      <c r="C37" s="293">
        <f ca="1">ROUND(E37*D37*F34/10000,0)</f>
        <v>458</v>
      </c>
      <c r="D37" s="261">
        <f ca="1">D19</f>
        <v>38206.339999999997</v>
      </c>
      <c r="E37" s="293">
        <f>'数据-取费表'!B35</f>
        <v>200</v>
      </c>
      <c r="F37" s="303"/>
      <c r="G37" s="305" t="s">
        <v>2386</v>
      </c>
    </row>
    <row r="38" spans="1:7" ht="13.5" customHeight="1">
      <c r="A38" s="951" t="s">
        <v>799</v>
      </c>
      <c r="B38" s="259" t="s">
        <v>2387</v>
      </c>
      <c r="C38" s="264">
        <f ca="1">ROUND(C34*F38,0)</f>
        <v>86</v>
      </c>
      <c r="D38" s="264"/>
      <c r="E38" s="264"/>
      <c r="F38" s="303">
        <f>'数据-取费表'!B36</f>
        <v>1.4999999999999999E-2</v>
      </c>
      <c r="G38" s="263" t="s">
        <v>2382</v>
      </c>
    </row>
    <row r="39" spans="1:7" s="258" customFormat="1" ht="13.5" customHeight="1">
      <c r="A39" s="299" t="s">
        <v>2388</v>
      </c>
      <c r="B39" s="254" t="s">
        <v>2389</v>
      </c>
      <c r="C39" s="276">
        <f ca="1">ROUND(C33*F20,0)</f>
        <v>132</v>
      </c>
      <c r="D39" s="276"/>
      <c r="E39" s="276"/>
      <c r="F39" s="277"/>
      <c r="G39" s="278" t="s">
        <v>2390</v>
      </c>
    </row>
    <row r="40" spans="1:7" s="258" customFormat="1" ht="13.5" customHeight="1">
      <c r="A40" s="299" t="s">
        <v>2391</v>
      </c>
      <c r="B40" s="254" t="s">
        <v>2392</v>
      </c>
      <c r="C40" s="1727">
        <f>F21</f>
        <v>0.02</v>
      </c>
      <c r="D40" s="280" t="s">
        <v>2393</v>
      </c>
      <c r="E40" s="276"/>
      <c r="F40" s="277"/>
      <c r="G40" s="278" t="s">
        <v>2394</v>
      </c>
    </row>
    <row r="41" spans="1:7" s="258" customFormat="1" ht="13.5" customHeight="1">
      <c r="A41" s="299" t="s">
        <v>2395</v>
      </c>
      <c r="B41" s="254" t="s">
        <v>2396</v>
      </c>
      <c r="C41" s="276">
        <f ca="1">ROUND(SUM(C42:C43),0)</f>
        <v>158</v>
      </c>
      <c r="D41" s="279">
        <f ca="1">C44</f>
        <v>5.0000000000000001E-4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155</v>
      </c>
      <c r="D42" s="282"/>
      <c r="E42" s="282"/>
      <c r="F42" s="283"/>
      <c r="G42" s="3325" t="s">
        <v>2398</v>
      </c>
    </row>
    <row r="43" spans="1:7" ht="13.5" customHeight="1">
      <c r="A43" s="951" t="s">
        <v>792</v>
      </c>
      <c r="B43" s="259" t="s">
        <v>2399</v>
      </c>
      <c r="C43" s="282">
        <f ca="1">ROUND(IF('数据-取费表'!B22&lt;=1,C39*F22*'数据-取费表'!B21/2,C39*(POWER((1+F22),'数据-取费表'!B21/2)-1)),0)</f>
        <v>3</v>
      </c>
      <c r="D43" s="282"/>
      <c r="E43" s="282"/>
      <c r="F43" s="283"/>
      <c r="G43" s="3326"/>
    </row>
    <row r="44" spans="1:7" ht="13.5" customHeight="1">
      <c r="A44" s="951" t="s">
        <v>793</v>
      </c>
      <c r="B44" s="259" t="s">
        <v>2400</v>
      </c>
      <c r="C44" s="282">
        <f ca="1">ROUND(IF('数据-取费表'!B22&lt;=1,C40*F22*'数据-取费表'!B21/2,C40*(POWER((1+F22),'数据-取费表'!B21/2)-1)),4)</f>
        <v>5.0000000000000001E-4</v>
      </c>
      <c r="D44" s="282"/>
      <c r="E44" s="282"/>
      <c r="F44" s="283"/>
      <c r="G44" s="3327"/>
    </row>
    <row r="45" spans="1:7" s="258" customFormat="1" ht="13.5" customHeight="1">
      <c r="A45" s="299" t="s">
        <v>2401</v>
      </c>
      <c r="B45" s="288" t="s">
        <v>2367</v>
      </c>
      <c r="C45" s="289">
        <f ca="1">C46</f>
        <v>1008</v>
      </c>
      <c r="D45" s="279">
        <f ca="1">C47</f>
        <v>3.0000000000000001E-3</v>
      </c>
      <c r="E45" s="280" t="s">
        <v>2393</v>
      </c>
      <c r="F45" s="290"/>
      <c r="G45" s="291" t="s">
        <v>2402</v>
      </c>
    </row>
    <row r="46" spans="1:7" s="258" customFormat="1" ht="13.5" customHeight="1">
      <c r="A46" s="951" t="s">
        <v>791</v>
      </c>
      <c r="B46" s="292" t="s">
        <v>2403</v>
      </c>
      <c r="C46" s="293">
        <f ca="1">ROUND((C33+C39)*F27,0)</f>
        <v>1008</v>
      </c>
      <c r="D46" s="307"/>
      <c r="E46" s="280"/>
      <c r="F46" s="290"/>
      <c r="G46" s="291"/>
    </row>
    <row r="47" spans="1:7" s="258" customFormat="1" ht="13.5" customHeight="1">
      <c r="A47" s="951" t="s">
        <v>792</v>
      </c>
      <c r="B47" s="292" t="s">
        <v>2404</v>
      </c>
      <c r="C47" s="282">
        <f ca="1">ROUND(C40*F27,4)</f>
        <v>3.0000000000000001E-3</v>
      </c>
      <c r="D47" s="307"/>
      <c r="E47" s="280"/>
      <c r="F47" s="290"/>
      <c r="G47" s="291"/>
    </row>
    <row r="48" spans="1:7" s="258" customFormat="1" ht="13.5" customHeight="1">
      <c r="A48" s="299" t="s">
        <v>2366</v>
      </c>
      <c r="B48" s="254" t="s">
        <v>2405</v>
      </c>
      <c r="C48" s="1727">
        <f>ROUND(F30/(1+'数据-取费表'!C42),4)</f>
        <v>5.3800000000000001E-2</v>
      </c>
      <c r="D48" s="280" t="s">
        <v>2393</v>
      </c>
      <c r="E48" s="276"/>
      <c r="F48" s="281"/>
      <c r="G48" s="278" t="s">
        <v>2406</v>
      </c>
    </row>
    <row r="49" spans="1:7" ht="16.5" customHeight="1">
      <c r="A49" s="299" t="s">
        <v>2372</v>
      </c>
      <c r="B49" s="254" t="s">
        <v>2407</v>
      </c>
      <c r="C49" s="276">
        <f ca="1">ROUND((C33+C39+C41+C45)/(1-C40-D41-D45-C48),0)</f>
        <v>8546</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8546</v>
      </c>
      <c r="D51" s="276"/>
      <c r="E51" s="276"/>
      <c r="F51" s="308"/>
      <c r="G51" s="278" t="s">
        <v>2414</v>
      </c>
    </row>
    <row r="52" spans="1:7" s="252" customFormat="1" ht="16.5" thickBot="1">
      <c r="A52" s="309" t="s">
        <v>2415</v>
      </c>
      <c r="B52" s="310"/>
      <c r="C52" s="311">
        <f ca="1">C31+C51</f>
        <v>95177</v>
      </c>
      <c r="D52" s="310"/>
      <c r="E52" s="310"/>
      <c r="F52" s="310"/>
      <c r="G52" s="312"/>
    </row>
    <row r="55" spans="1:7" ht="15">
      <c r="B55" s="314" t="s">
        <v>2416</v>
      </c>
      <c r="C55" s="315"/>
    </row>
    <row r="56" spans="1:7">
      <c r="B56" s="317" t="s">
        <v>1508</v>
      </c>
      <c r="C56" s="319">
        <f ca="1">1-C57</f>
        <v>0.91</v>
      </c>
    </row>
    <row r="57" spans="1:7">
      <c r="B57" s="317" t="s">
        <v>1509</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F41" sqref="F41"/>
    </sheetView>
  </sheetViews>
  <sheetFormatPr defaultColWidth="9" defaultRowHeight="14.25"/>
  <cols>
    <col min="1" max="1" width="14.375" style="403" customWidth="1"/>
    <col min="2" max="2" width="15.75" style="403" customWidth="1"/>
    <col min="3" max="3" width="1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66811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17487</v>
      </c>
      <c r="C3" s="247" t="s">
        <v>2731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346" t="s">
        <v>2631</v>
      </c>
      <c r="D4" s="3347"/>
      <c r="E4" s="3348" t="s">
        <v>2632</v>
      </c>
      <c r="F4" s="3349"/>
      <c r="G4" s="3346" t="s">
        <v>2633</v>
      </c>
      <c r="H4" s="3347"/>
      <c r="I4" s="3346" t="s">
        <v>2634</v>
      </c>
      <c r="J4" s="3347"/>
      <c r="K4" s="610" t="s">
        <v>2635</v>
      </c>
      <c r="L4" s="1130"/>
      <c r="M4" s="1131"/>
      <c r="N4" s="1131"/>
      <c r="O4" s="1131"/>
      <c r="P4" s="3350" t="s">
        <v>2636</v>
      </c>
      <c r="Q4" s="3351"/>
      <c r="R4" s="3333" t="s">
        <v>2632</v>
      </c>
      <c r="S4" s="3334"/>
      <c r="T4" s="3333" t="s">
        <v>2633</v>
      </c>
      <c r="U4" s="3334"/>
      <c r="V4" s="3358" t="s">
        <v>2634</v>
      </c>
      <c r="W4" s="3358"/>
      <c r="X4" s="1812"/>
      <c r="Y4" s="3333" t="s">
        <v>2636</v>
      </c>
      <c r="Z4" s="3334"/>
      <c r="AA4" s="3328" t="s">
        <v>2632</v>
      </c>
      <c r="AB4" s="3329" t="s">
        <v>2633</v>
      </c>
      <c r="AC4" s="3328" t="s">
        <v>2634</v>
      </c>
    </row>
    <row r="5" spans="1:30" ht="15">
      <c r="A5" s="404"/>
      <c r="B5" s="405"/>
      <c r="C5" s="3339" t="s">
        <v>2528</v>
      </c>
      <c r="D5" s="3340"/>
      <c r="E5" s="3337" t="str">
        <f>土地案例!A5</f>
        <v>东丽区龙廷路与霞宏道交口</v>
      </c>
      <c r="F5" s="3338"/>
      <c r="G5" s="3339" t="str">
        <f>土地案例!A12</f>
        <v>东丽区程新道与迭山路交口东南侧</v>
      </c>
      <c r="H5" s="3340"/>
      <c r="I5" s="3339" t="str">
        <f>土地案例!A18</f>
        <v>东丽区津滨大道与雪山路交口东北侧</v>
      </c>
      <c r="J5" s="3340"/>
      <c r="K5" s="610"/>
      <c r="L5" s="1130"/>
      <c r="M5" s="1131"/>
      <c r="N5" s="1131"/>
      <c r="O5" s="1131"/>
      <c r="P5" s="3352"/>
      <c r="Q5" s="3353"/>
      <c r="R5" s="3335"/>
      <c r="S5" s="3336"/>
      <c r="T5" s="3335"/>
      <c r="U5" s="3336"/>
      <c r="V5" s="3358"/>
      <c r="W5" s="3358"/>
      <c r="X5" s="1812"/>
      <c r="Y5" s="3335"/>
      <c r="Z5" s="3336"/>
      <c r="AA5" s="3329"/>
      <c r="AB5" s="3329"/>
      <c r="AC5" s="3329"/>
    </row>
    <row r="6" spans="1:30" ht="15.75" thickBot="1">
      <c r="A6" s="406"/>
      <c r="B6" s="407"/>
      <c r="C6" s="3341" t="s">
        <v>2532</v>
      </c>
      <c r="D6" s="3342"/>
      <c r="E6" s="3343"/>
      <c r="F6" s="3344"/>
      <c r="G6" s="3341"/>
      <c r="H6" s="3342"/>
      <c r="I6" s="3341"/>
      <c r="J6" s="3342"/>
      <c r="K6" s="610" t="s">
        <v>2533</v>
      </c>
      <c r="L6" s="1130"/>
      <c r="M6" s="1131"/>
      <c r="N6" s="1131"/>
      <c r="O6" s="1131"/>
      <c r="P6" s="3354"/>
      <c r="Q6" s="3355"/>
      <c r="R6" s="3335"/>
      <c r="S6" s="3336"/>
      <c r="T6" s="3356"/>
      <c r="U6" s="3357"/>
      <c r="V6" s="3358"/>
      <c r="W6" s="3358"/>
      <c r="X6" s="1812"/>
      <c r="Y6" s="3356"/>
      <c r="Z6" s="3357"/>
      <c r="AA6" s="3330"/>
      <c r="AB6" s="3330"/>
      <c r="AC6" s="3330"/>
    </row>
    <row r="7" spans="1:30" s="117" customFormat="1" ht="15.75" thickBot="1">
      <c r="A7" s="408" t="s">
        <v>2534</v>
      </c>
      <c r="B7" s="409"/>
      <c r="C7" s="410">
        <f>'数据-取费表'!B2</f>
        <v>43755</v>
      </c>
      <c r="D7" s="411">
        <v>100</v>
      </c>
      <c r="E7" s="412" t="str">
        <f>土地案例!I5</f>
        <v>2019-06-19</v>
      </c>
      <c r="F7" s="413">
        <f>SUMIF(70:70,YEAR(E7)&amp;"-"&amp;INT((MONTH(E7)+2)/3),71:71)</f>
        <v>100</v>
      </c>
      <c r="G7" s="2691" t="str">
        <f>土地案例!I12</f>
        <v>2018-06-29</v>
      </c>
      <c r="H7" s="411">
        <f>SUMIF(70:70,YEAR(G7)&amp;"-"&amp;INT((MONTH(G7)+2)/3),71:71)</f>
        <v>100</v>
      </c>
      <c r="I7" s="2691" t="str">
        <f>土地案例!I18</f>
        <v>2017-07-21</v>
      </c>
      <c r="J7" s="411">
        <f>SUMIF(70:70,YEAR(I7)&amp;"-"&amp;INT((MONTH(I7)+2)/3),71:71)</f>
        <v>100</v>
      </c>
      <c r="K7" s="611"/>
      <c r="L7" s="1132"/>
      <c r="M7" s="1133"/>
      <c r="N7" s="1133"/>
      <c r="O7" s="1133"/>
      <c r="P7" s="3331" t="s">
        <v>2535</v>
      </c>
      <c r="Q7" s="3359"/>
      <c r="R7" s="770" t="s">
        <v>17</v>
      </c>
      <c r="S7" s="771">
        <f t="shared" ref="S7:S15" si="0">F7</f>
        <v>100</v>
      </c>
      <c r="T7" s="770" t="s">
        <v>17</v>
      </c>
      <c r="U7" s="771">
        <f t="shared" ref="U7:U15" si="1">H7</f>
        <v>100</v>
      </c>
      <c r="V7" s="770" t="s">
        <v>17</v>
      </c>
      <c r="W7" s="771">
        <f t="shared" ref="W7:W15" si="2">J7</f>
        <v>100</v>
      </c>
      <c r="X7" s="772"/>
      <c r="Y7" s="3331" t="s">
        <v>2535</v>
      </c>
      <c r="Z7" s="3332"/>
      <c r="AA7" s="773">
        <f>D7/F7</f>
        <v>1</v>
      </c>
      <c r="AB7" s="773">
        <f>D7/H7</f>
        <v>1</v>
      </c>
      <c r="AC7" s="773">
        <f>D7/J7</f>
        <v>1</v>
      </c>
    </row>
    <row r="8" spans="1:30" s="117" customFormat="1" ht="15.75" thickBot="1">
      <c r="A8" s="408" t="s">
        <v>2536</v>
      </c>
      <c r="B8" s="409"/>
      <c r="C8" s="414" t="s">
        <v>2537</v>
      </c>
      <c r="D8" s="411">
        <v>100</v>
      </c>
      <c r="E8" s="414" t="s">
        <v>2537</v>
      </c>
      <c r="F8" s="413">
        <f>SUMIF(73:73,E8,74:74)-SUMIF(73:73,C8,74:74)+100</f>
        <v>100</v>
      </c>
      <c r="G8" s="414" t="s">
        <v>2537</v>
      </c>
      <c r="H8" s="411">
        <f>SUMIF(73:73,G8,74:74)-SUMIF(73:73,C8,74:74)+100</f>
        <v>100</v>
      </c>
      <c r="I8" s="414" t="s">
        <v>2537</v>
      </c>
      <c r="J8" s="411">
        <f>SUMIF(73:73,I8,74:74)-SUMIF(73:73,C8,74:74)+100</f>
        <v>100</v>
      </c>
      <c r="K8" s="611"/>
      <c r="L8" s="1132"/>
      <c r="M8" s="1133"/>
      <c r="N8" s="1133"/>
      <c r="O8" s="1133"/>
      <c r="P8" s="3331" t="s">
        <v>2538</v>
      </c>
      <c r="Q8" s="3332"/>
      <c r="R8" s="770" t="s">
        <v>17</v>
      </c>
      <c r="S8" s="771">
        <f t="shared" si="0"/>
        <v>100</v>
      </c>
      <c r="T8" s="770" t="s">
        <v>17</v>
      </c>
      <c r="U8" s="771">
        <f t="shared" si="1"/>
        <v>100</v>
      </c>
      <c r="V8" s="770" t="s">
        <v>17</v>
      </c>
      <c r="W8" s="771">
        <f t="shared" si="2"/>
        <v>100</v>
      </c>
      <c r="X8" s="772"/>
      <c r="Y8" s="3331" t="s">
        <v>2538</v>
      </c>
      <c r="Z8" s="3332"/>
      <c r="AA8" s="773">
        <f t="shared" ref="AA8:AA45" si="3">D8/F8</f>
        <v>1</v>
      </c>
      <c r="AB8" s="773">
        <f t="shared" ref="AB8:AB45" si="4">D8/H8</f>
        <v>1</v>
      </c>
      <c r="AC8" s="773">
        <f t="shared" ref="AC8:AC45" si="5">D8/J8</f>
        <v>1</v>
      </c>
    </row>
    <row r="9" spans="1:30" s="117" customFormat="1">
      <c r="A9" s="415" t="s">
        <v>2539</v>
      </c>
      <c r="B9" s="71" t="s">
        <v>2540</v>
      </c>
      <c r="C9" s="2694" t="s">
        <v>3769</v>
      </c>
      <c r="D9" s="135">
        <v>100</v>
      </c>
      <c r="E9" s="2694" t="s">
        <v>3769</v>
      </c>
      <c r="F9" s="135">
        <f>SUMIF(75:75,E9,76:76)-SUMIF(75:75,C9,76:76)+100</f>
        <v>100</v>
      </c>
      <c r="G9" s="2694" t="s">
        <v>3769</v>
      </c>
      <c r="H9" s="135">
        <f>SUMIF(75:75,G9,76:76)-SUMIF(75:75,C9,76:76)+100</f>
        <v>100</v>
      </c>
      <c r="I9" s="2694" t="s">
        <v>3770</v>
      </c>
      <c r="J9" s="135">
        <f>SUMIF(75:75,I9,76:76)-SUMIF(75:75,C9,76:76)+100</f>
        <v>90</v>
      </c>
      <c r="K9" s="611"/>
      <c r="L9" s="1132"/>
      <c r="M9" s="1133"/>
      <c r="N9" s="1133"/>
      <c r="O9" s="1134"/>
      <c r="P9" s="3345" t="s">
        <v>2541</v>
      </c>
      <c r="Q9" s="1794" t="str">
        <f t="shared" ref="Q9:Q15" si="6">B9</f>
        <v>用途</v>
      </c>
      <c r="R9" s="770" t="s">
        <v>17</v>
      </c>
      <c r="S9" s="771">
        <f t="shared" si="0"/>
        <v>100</v>
      </c>
      <c r="T9" s="770" t="s">
        <v>17</v>
      </c>
      <c r="U9" s="771">
        <f t="shared" si="1"/>
        <v>100</v>
      </c>
      <c r="V9" s="770" t="s">
        <v>17</v>
      </c>
      <c r="W9" s="771">
        <f t="shared" si="2"/>
        <v>90</v>
      </c>
      <c r="X9" s="772"/>
      <c r="Y9" s="3147" t="s">
        <v>2542</v>
      </c>
      <c r="Z9" s="55" t="str">
        <f t="shared" ref="Z9:Z15" si="7">Q9</f>
        <v>用途</v>
      </c>
      <c r="AA9" s="773">
        <f t="shared" si="3"/>
        <v>1</v>
      </c>
      <c r="AB9" s="773">
        <f t="shared" si="4"/>
        <v>1</v>
      </c>
      <c r="AC9" s="773">
        <f t="shared" si="5"/>
        <v>1.1111111111111112</v>
      </c>
    </row>
    <row r="10" spans="1:30" s="427" customFormat="1" ht="27">
      <c r="A10" s="421"/>
      <c r="B10" s="422" t="s">
        <v>2543</v>
      </c>
      <c r="C10" s="432">
        <f>项目基本情况!D15</f>
        <v>67.23</v>
      </c>
      <c r="D10" s="136">
        <v>100</v>
      </c>
      <c r="E10" s="465" t="s">
        <v>3771</v>
      </c>
      <c r="F10" s="136">
        <f>ROUND(100/'数据-取费表'!G16,0)</f>
        <v>101</v>
      </c>
      <c r="G10" s="463" t="s">
        <v>3772</v>
      </c>
      <c r="H10" s="136">
        <f>ROUND(100/'数据-取费表'!G16,0)</f>
        <v>101</v>
      </c>
      <c r="I10" s="463" t="s">
        <v>3771</v>
      </c>
      <c r="J10" s="136">
        <f>ROUND(100/'数据-取费表'!G16,0)</f>
        <v>101</v>
      </c>
      <c r="K10" s="672"/>
      <c r="L10" s="1135"/>
      <c r="M10" s="1136"/>
      <c r="N10" s="1136"/>
      <c r="O10" s="1137"/>
      <c r="P10" s="3345"/>
      <c r="Q10" s="1794" t="str">
        <f t="shared" si="6"/>
        <v>土地使用年限（年）</v>
      </c>
      <c r="R10" s="770" t="s">
        <v>17</v>
      </c>
      <c r="S10" s="771">
        <f t="shared" si="0"/>
        <v>101</v>
      </c>
      <c r="T10" s="770" t="s">
        <v>17</v>
      </c>
      <c r="U10" s="771">
        <f t="shared" si="1"/>
        <v>101</v>
      </c>
      <c r="V10" s="770" t="s">
        <v>17</v>
      </c>
      <c r="W10" s="771">
        <f t="shared" si="2"/>
        <v>101</v>
      </c>
      <c r="X10" s="772"/>
      <c r="Y10" s="3147"/>
      <c r="Z10" s="55" t="str">
        <f t="shared" si="7"/>
        <v>土地使用年限（年）</v>
      </c>
      <c r="AA10" s="773">
        <f t="shared" si="3"/>
        <v>0.99009900990099009</v>
      </c>
      <c r="AB10" s="773">
        <f t="shared" si="4"/>
        <v>0.99009900990099009</v>
      </c>
      <c r="AC10" s="773">
        <f t="shared" si="5"/>
        <v>0.99009900990099009</v>
      </c>
    </row>
    <row r="11" spans="1:30" ht="15">
      <c r="A11" s="428"/>
      <c r="B11" s="422" t="s">
        <v>2544</v>
      </c>
      <c r="C11" s="429">
        <f>'数据-汇总表'!I7</f>
        <v>2</v>
      </c>
      <c r="D11" s="136">
        <v>100</v>
      </c>
      <c r="E11" s="429">
        <f>土地案例!G5</f>
        <v>2</v>
      </c>
      <c r="F11" s="136">
        <f>LOOKUP(E11,80:80,81:81)-LOOKUP(C11,80:80,81:81)+100</f>
        <v>100</v>
      </c>
      <c r="G11" s="430">
        <f>土地案例!G12</f>
        <v>2</v>
      </c>
      <c r="H11" s="136">
        <f>LOOKUP(G11,80:80,81:81)-LOOKUP(C11,80:80,81:81)+100</f>
        <v>100</v>
      </c>
      <c r="I11" s="429">
        <f>土地案例!G18</f>
        <v>2.19</v>
      </c>
      <c r="J11" s="136">
        <f>LOOKUP(I11,80:80,81:81)-LOOKUP(C11,80:80,81:81)+100</f>
        <v>100</v>
      </c>
      <c r="K11" s="673">
        <v>2</v>
      </c>
      <c r="L11" s="1138"/>
      <c r="M11" s="1131"/>
      <c r="N11" s="1131"/>
      <c r="O11" s="1139"/>
      <c r="P11" s="3345"/>
      <c r="Q11" s="1794" t="str">
        <f t="shared" si="6"/>
        <v>容积率</v>
      </c>
      <c r="R11" s="770" t="s">
        <v>17</v>
      </c>
      <c r="S11" s="771">
        <f t="shared" si="0"/>
        <v>100</v>
      </c>
      <c r="T11" s="770" t="s">
        <v>17</v>
      </c>
      <c r="U11" s="771">
        <f t="shared" si="1"/>
        <v>100</v>
      </c>
      <c r="V11" s="770" t="s">
        <v>17</v>
      </c>
      <c r="W11" s="771">
        <f t="shared" si="2"/>
        <v>100</v>
      </c>
      <c r="X11" s="772"/>
      <c r="Y11" s="3147"/>
      <c r="Z11" s="55" t="str">
        <f t="shared" si="7"/>
        <v>容积率</v>
      </c>
      <c r="AA11" s="773">
        <f t="shared" si="3"/>
        <v>1</v>
      </c>
      <c r="AB11" s="773">
        <f t="shared" si="4"/>
        <v>1</v>
      </c>
      <c r="AC11" s="773">
        <f t="shared" si="5"/>
        <v>1</v>
      </c>
    </row>
    <row r="12" spans="1:30" s="117" customFormat="1" ht="15.75" thickBot="1">
      <c r="A12" s="431"/>
      <c r="B12" s="2596" t="s">
        <v>2732</v>
      </c>
      <c r="C12" s="3066" t="s">
        <v>3286</v>
      </c>
      <c r="D12" s="433">
        <v>100</v>
      </c>
      <c r="E12" s="3067" t="s">
        <v>3777</v>
      </c>
      <c r="F12" s="136">
        <f>SUMIF(82:82,E12,83:83)-SUMIF(82:82,C12,83:83)+100</f>
        <v>100</v>
      </c>
      <c r="G12" s="3068" t="s">
        <v>3287</v>
      </c>
      <c r="H12" s="136">
        <f>SUMIF(82:82,G12,83:83)-SUMIF(82:82,C12,83:83)+100</f>
        <v>95</v>
      </c>
      <c r="I12" s="3067" t="s">
        <v>3286</v>
      </c>
      <c r="J12" s="136">
        <f>SUMIF(82:82,I12,83:83)-SUMIF(82:82,C12,83:83)+100</f>
        <v>100</v>
      </c>
      <c r="K12" s="672"/>
      <c r="L12" s="1132"/>
      <c r="M12" s="1133"/>
      <c r="N12" s="1133"/>
      <c r="O12" s="1134"/>
      <c r="P12" s="3345"/>
      <c r="Q12" s="1794" t="str">
        <f t="shared" si="6"/>
        <v>配建</v>
      </c>
      <c r="R12" s="770" t="s">
        <v>17</v>
      </c>
      <c r="S12" s="771">
        <f t="shared" si="0"/>
        <v>100</v>
      </c>
      <c r="T12" s="770" t="s">
        <v>17</v>
      </c>
      <c r="U12" s="771">
        <f t="shared" si="1"/>
        <v>95</v>
      </c>
      <c r="V12" s="770" t="s">
        <v>17</v>
      </c>
      <c r="W12" s="771">
        <f t="shared" si="2"/>
        <v>100</v>
      </c>
      <c r="X12" s="772"/>
      <c r="Y12" s="3147"/>
      <c r="Z12" s="55" t="str">
        <f t="shared" si="7"/>
        <v>配建</v>
      </c>
      <c r="AA12" s="773">
        <f>D12/F12</f>
        <v>1</v>
      </c>
      <c r="AB12" s="773">
        <f>D12/H12</f>
        <v>1.0526315789473684</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45"/>
      <c r="Q13" s="1794">
        <f t="shared" si="6"/>
        <v>111</v>
      </c>
      <c r="R13" s="770" t="s">
        <v>17</v>
      </c>
      <c r="S13" s="771">
        <f t="shared" si="0"/>
        <v>100</v>
      </c>
      <c r="T13" s="770" t="s">
        <v>17</v>
      </c>
      <c r="U13" s="771">
        <f t="shared" si="1"/>
        <v>100</v>
      </c>
      <c r="V13" s="770" t="s">
        <v>17</v>
      </c>
      <c r="W13" s="771">
        <f t="shared" si="2"/>
        <v>100</v>
      </c>
      <c r="X13" s="772"/>
      <c r="Y13" s="3147"/>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45"/>
      <c r="Q14" s="1794">
        <f t="shared" si="6"/>
        <v>111</v>
      </c>
      <c r="R14" s="770" t="s">
        <v>17</v>
      </c>
      <c r="S14" s="771">
        <f t="shared" si="0"/>
        <v>100</v>
      </c>
      <c r="T14" s="770" t="s">
        <v>17</v>
      </c>
      <c r="U14" s="771">
        <f t="shared" si="1"/>
        <v>100</v>
      </c>
      <c r="V14" s="770" t="s">
        <v>17</v>
      </c>
      <c r="W14" s="771">
        <f t="shared" si="2"/>
        <v>100</v>
      </c>
      <c r="X14" s="772"/>
      <c r="Y14" s="3147"/>
      <c r="Z14" s="55">
        <f t="shared" si="7"/>
        <v>111</v>
      </c>
      <c r="AA14" s="773">
        <f>D14/F14</f>
        <v>1</v>
      </c>
      <c r="AB14" s="773">
        <f>D14/H14</f>
        <v>1</v>
      </c>
      <c r="AC14" s="773">
        <f>D14/J14</f>
        <v>1</v>
      </c>
    </row>
    <row r="15" spans="1:30" ht="15">
      <c r="A15" s="440" t="s">
        <v>2545</v>
      </c>
      <c r="B15" s="69" t="s">
        <v>2082</v>
      </c>
      <c r="C15" s="2599" t="str">
        <f>估价对象房地状况!C15</f>
        <v>较好</v>
      </c>
      <c r="D15" s="441">
        <v>100</v>
      </c>
      <c r="E15" s="442"/>
      <c r="F15" s="441">
        <f>SUMIF(88:88,E16,89:89)-SUMIF(88:88,C16,89:89)+100</f>
        <v>97</v>
      </c>
      <c r="G15" s="442"/>
      <c r="H15" s="441">
        <f>SUMIF(88:88,G16,89:89)-SUMIF(88:88,C16,89:89)+100</f>
        <v>97</v>
      </c>
      <c r="I15" s="444"/>
      <c r="J15" s="441">
        <f>SUMIF(88:88,I16,89:89)-SUMIF(88:88,C16,89:89)+100</f>
        <v>100</v>
      </c>
      <c r="K15" s="673">
        <v>3</v>
      </c>
      <c r="L15" s="1140"/>
      <c r="M15" s="1131"/>
      <c r="N15" s="1131"/>
      <c r="O15" s="1139"/>
      <c r="P15" s="3360" t="s">
        <v>2546</v>
      </c>
      <c r="Q15" s="1809" t="str">
        <f t="shared" si="6"/>
        <v>居住社区成熟度</v>
      </c>
      <c r="R15" s="774" t="s">
        <v>17</v>
      </c>
      <c r="S15" s="775">
        <f t="shared" si="0"/>
        <v>97</v>
      </c>
      <c r="T15" s="774" t="s">
        <v>17</v>
      </c>
      <c r="U15" s="775">
        <f t="shared" si="1"/>
        <v>97</v>
      </c>
      <c r="V15" s="774" t="s">
        <v>17</v>
      </c>
      <c r="W15" s="775">
        <f t="shared" si="2"/>
        <v>100</v>
      </c>
      <c r="X15" s="1812"/>
      <c r="Y15" s="3360" t="s">
        <v>2546</v>
      </c>
      <c r="Z15" s="1813" t="str">
        <f t="shared" si="7"/>
        <v>居住社区成熟度</v>
      </c>
      <c r="AA15" s="1810">
        <f t="shared" si="3"/>
        <v>1.0309278350515463</v>
      </c>
      <c r="AB15" s="1810">
        <f t="shared" si="4"/>
        <v>1.0309278350515463</v>
      </c>
      <c r="AC15" s="1810">
        <f t="shared" si="5"/>
        <v>1</v>
      </c>
    </row>
    <row r="16" spans="1:30" ht="15">
      <c r="A16" s="428"/>
      <c r="B16" s="446"/>
      <c r="C16" s="447" t="s">
        <v>3300</v>
      </c>
      <c r="D16" s="448"/>
      <c r="E16" s="2601" t="s">
        <v>3778</v>
      </c>
      <c r="F16" s="448"/>
      <c r="G16" s="2601" t="s">
        <v>3778</v>
      </c>
      <c r="H16" s="450"/>
      <c r="I16" s="2600" t="s">
        <v>3300</v>
      </c>
      <c r="J16" s="448"/>
      <c r="K16" s="672"/>
      <c r="L16" s="1140"/>
      <c r="M16" s="1131"/>
      <c r="N16" s="1131"/>
      <c r="O16" s="1139"/>
      <c r="P16" s="3361"/>
      <c r="Q16" s="1809"/>
      <c r="R16" s="774"/>
      <c r="S16" s="775"/>
      <c r="T16" s="774"/>
      <c r="U16" s="775"/>
      <c r="V16" s="774"/>
      <c r="W16" s="775"/>
      <c r="X16" s="1812"/>
      <c r="Y16" s="3361"/>
      <c r="Z16" s="1813"/>
      <c r="AA16" s="1810">
        <v>1</v>
      </c>
      <c r="AB16" s="1810">
        <v>1</v>
      </c>
      <c r="AC16" s="1810">
        <v>1</v>
      </c>
    </row>
    <row r="17" spans="1:29" ht="15">
      <c r="A17" s="428"/>
      <c r="B17" s="451" t="s">
        <v>2638</v>
      </c>
      <c r="C17" s="2659">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3</v>
      </c>
      <c r="L17" s="1140"/>
      <c r="M17" s="1131"/>
      <c r="N17" s="1131"/>
      <c r="O17" s="1139"/>
      <c r="P17" s="3361"/>
      <c r="Q17" s="1809" t="str">
        <f>B17</f>
        <v>商业繁华度</v>
      </c>
      <c r="R17" s="774" t="s">
        <v>17</v>
      </c>
      <c r="S17" s="775">
        <f>F17</f>
        <v>100</v>
      </c>
      <c r="T17" s="774" t="s">
        <v>17</v>
      </c>
      <c r="U17" s="775">
        <f>H17</f>
        <v>100</v>
      </c>
      <c r="V17" s="774" t="s">
        <v>17</v>
      </c>
      <c r="W17" s="775">
        <f>J17</f>
        <v>100</v>
      </c>
      <c r="X17" s="1812"/>
      <c r="Y17" s="3361"/>
      <c r="Z17" s="1813" t="str">
        <f>Q17</f>
        <v>商业繁华度</v>
      </c>
      <c r="AA17" s="1810">
        <f t="shared" si="3"/>
        <v>1</v>
      </c>
      <c r="AB17" s="1810">
        <f t="shared" si="4"/>
        <v>1</v>
      </c>
      <c r="AC17" s="1810">
        <f t="shared" si="5"/>
        <v>1</v>
      </c>
    </row>
    <row r="18" spans="1:29" ht="15">
      <c r="A18" s="428"/>
      <c r="B18" s="456"/>
      <c r="C18" s="2604" t="s">
        <v>3778</v>
      </c>
      <c r="D18" s="450"/>
      <c r="E18" s="2606" t="s">
        <v>3778</v>
      </c>
      <c r="F18" s="450"/>
      <c r="G18" s="2606" t="s">
        <v>3778</v>
      </c>
      <c r="H18" s="448"/>
      <c r="I18" s="2605" t="s">
        <v>3778</v>
      </c>
      <c r="J18" s="448"/>
      <c r="K18" s="672"/>
      <c r="L18" s="1140"/>
      <c r="M18" s="1131"/>
      <c r="N18" s="1131"/>
      <c r="O18" s="1139"/>
      <c r="P18" s="3361"/>
      <c r="Q18" s="1809"/>
      <c r="R18" s="774"/>
      <c r="S18" s="775"/>
      <c r="T18" s="774"/>
      <c r="U18" s="775"/>
      <c r="V18" s="774"/>
      <c r="W18" s="775"/>
      <c r="X18" s="1812"/>
      <c r="Y18" s="3361"/>
      <c r="Z18" s="1813"/>
      <c r="AA18" s="1810">
        <v>1</v>
      </c>
      <c r="AB18" s="1810">
        <v>1</v>
      </c>
      <c r="AC18" s="1810">
        <v>1</v>
      </c>
    </row>
    <row r="19" spans="1:29" ht="15" hidden="1">
      <c r="A19" s="428"/>
      <c r="B19" s="451" t="s">
        <v>2672</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61"/>
      <c r="Q19" s="1809" t="str">
        <f>B19</f>
        <v>办公集聚程度</v>
      </c>
      <c r="R19" s="774" t="s">
        <v>17</v>
      </c>
      <c r="S19" s="775">
        <f>F19</f>
        <v>100</v>
      </c>
      <c r="T19" s="774" t="s">
        <v>17</v>
      </c>
      <c r="U19" s="775">
        <f>H19</f>
        <v>100</v>
      </c>
      <c r="V19" s="774" t="s">
        <v>17</v>
      </c>
      <c r="W19" s="775">
        <f>J19</f>
        <v>100</v>
      </c>
      <c r="X19" s="1812"/>
      <c r="Y19" s="3361"/>
      <c r="Z19" s="1813" t="str">
        <f>Q19</f>
        <v>办公集聚程度</v>
      </c>
      <c r="AA19" s="1810">
        <f t="shared" si="3"/>
        <v>1</v>
      </c>
      <c r="AB19" s="1810">
        <f t="shared" si="4"/>
        <v>1</v>
      </c>
      <c r="AC19" s="1810">
        <f t="shared" si="5"/>
        <v>1</v>
      </c>
    </row>
    <row r="20" spans="1:29" ht="15" hidden="1">
      <c r="A20" s="428"/>
      <c r="B20" s="456"/>
      <c r="C20" s="447"/>
      <c r="D20" s="448"/>
      <c r="E20" s="2601"/>
      <c r="F20" s="448"/>
      <c r="G20" s="2601"/>
      <c r="H20" s="448"/>
      <c r="I20" s="2600"/>
      <c r="J20" s="448"/>
      <c r="K20" s="672"/>
      <c r="L20" s="1140"/>
      <c r="M20" s="1131"/>
      <c r="N20" s="1131"/>
      <c r="O20" s="1139"/>
      <c r="P20" s="3361"/>
      <c r="Q20" s="1809"/>
      <c r="R20" s="774"/>
      <c r="S20" s="775"/>
      <c r="T20" s="774"/>
      <c r="U20" s="775"/>
      <c r="V20" s="774"/>
      <c r="W20" s="775"/>
      <c r="X20" s="1812"/>
      <c r="Y20" s="3361"/>
      <c r="Z20" s="1813"/>
      <c r="AA20" s="1810">
        <v>1</v>
      </c>
      <c r="AB20" s="1810">
        <v>1</v>
      </c>
      <c r="AC20" s="1810">
        <v>1</v>
      </c>
    </row>
    <row r="21" spans="1:29" ht="15">
      <c r="A21" s="428"/>
      <c r="B21" s="451" t="s">
        <v>2694</v>
      </c>
      <c r="C21" s="2603" t="str">
        <f>估价对象房地状况!C18</f>
        <v>较好</v>
      </c>
      <c r="D21" s="450">
        <v>100</v>
      </c>
      <c r="E21" s="452"/>
      <c r="F21" s="455">
        <f>SUMIF(94:94,E22,95:95)-SUMIF(94:94,C22,95:95)+100</f>
        <v>98</v>
      </c>
      <c r="G21" s="452"/>
      <c r="H21" s="450">
        <f>SUMIF(94:94,G22,95:95)-SUMIF(94:94,C22,95:95)+100</f>
        <v>98</v>
      </c>
      <c r="I21" s="454"/>
      <c r="J21" s="450">
        <f>SUMIF(94:94,I22,95:95)-SUMIF(94:94,C22,95:95)+100</f>
        <v>100</v>
      </c>
      <c r="K21" s="673">
        <v>2</v>
      </c>
      <c r="L21" s="1140"/>
      <c r="M21" s="1131"/>
      <c r="N21" s="1131"/>
      <c r="O21" s="1139"/>
      <c r="P21" s="3361"/>
      <c r="Q21" s="1809" t="str">
        <f>B21</f>
        <v>交通便捷度</v>
      </c>
      <c r="R21" s="774" t="s">
        <v>17</v>
      </c>
      <c r="S21" s="775">
        <f>F21</f>
        <v>98</v>
      </c>
      <c r="T21" s="774" t="s">
        <v>17</v>
      </c>
      <c r="U21" s="775">
        <f>H21</f>
        <v>98</v>
      </c>
      <c r="V21" s="774" t="s">
        <v>17</v>
      </c>
      <c r="W21" s="775">
        <f>J21</f>
        <v>100</v>
      </c>
      <c r="X21" s="1812"/>
      <c r="Y21" s="3361"/>
      <c r="Z21" s="1813" t="str">
        <f>Q21</f>
        <v>交通便捷度</v>
      </c>
      <c r="AA21" s="1810">
        <f t="shared" si="3"/>
        <v>1.0204081632653061</v>
      </c>
      <c r="AB21" s="1810">
        <f t="shared" si="4"/>
        <v>1.0204081632653061</v>
      </c>
      <c r="AC21" s="1810">
        <f t="shared" si="5"/>
        <v>1</v>
      </c>
    </row>
    <row r="22" spans="1:29" ht="15">
      <c r="A22" s="428"/>
      <c r="B22" s="1384"/>
      <c r="C22" s="447" t="s">
        <v>3300</v>
      </c>
      <c r="D22" s="450"/>
      <c r="E22" s="2601" t="s">
        <v>3778</v>
      </c>
      <c r="F22" s="448"/>
      <c r="G22" s="2601" t="s">
        <v>3778</v>
      </c>
      <c r="H22" s="448"/>
      <c r="I22" s="2600" t="s">
        <v>3300</v>
      </c>
      <c r="J22" s="448"/>
      <c r="K22" s="672"/>
      <c r="L22" s="1140"/>
      <c r="M22" s="1131"/>
      <c r="N22" s="1131"/>
      <c r="O22" s="1139"/>
      <c r="P22" s="3361"/>
      <c r="Q22" s="1809"/>
      <c r="R22" s="774"/>
      <c r="S22" s="775"/>
      <c r="T22" s="774"/>
      <c r="U22" s="775"/>
      <c r="V22" s="774"/>
      <c r="W22" s="775"/>
      <c r="X22" s="1812"/>
      <c r="Y22" s="3361"/>
      <c r="Z22" s="1813"/>
      <c r="AA22" s="1810">
        <v>1</v>
      </c>
      <c r="AB22" s="1810">
        <v>1</v>
      </c>
      <c r="AC22" s="1810">
        <v>1</v>
      </c>
    </row>
    <row r="23" spans="1:29" ht="15">
      <c r="A23" s="404"/>
      <c r="B23" s="451" t="s">
        <v>2733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361"/>
      <c r="Q23" s="1809" t="str">
        <f t="shared" ref="Q23:Q37" si="8">B23</f>
        <v>区域土地利用方向</v>
      </c>
      <c r="R23" s="774" t="s">
        <v>17</v>
      </c>
      <c r="S23" s="775">
        <f>F23</f>
        <v>100</v>
      </c>
      <c r="T23" s="774" t="s">
        <v>17</v>
      </c>
      <c r="U23" s="775">
        <f>H23</f>
        <v>100</v>
      </c>
      <c r="V23" s="774" t="s">
        <v>17</v>
      </c>
      <c r="W23" s="775">
        <f>J23</f>
        <v>100</v>
      </c>
      <c r="X23" s="1812"/>
      <c r="Y23" s="3361"/>
      <c r="Z23" s="1813" t="str">
        <f>Q23</f>
        <v>区域土地利用方向</v>
      </c>
      <c r="AA23" s="1810">
        <f t="shared" si="3"/>
        <v>1</v>
      </c>
      <c r="AB23" s="1810">
        <f t="shared" si="4"/>
        <v>1</v>
      </c>
      <c r="AC23" s="1810">
        <f t="shared" si="5"/>
        <v>1</v>
      </c>
    </row>
    <row r="24" spans="1:29" ht="15">
      <c r="A24" s="404"/>
      <c r="B24" s="456"/>
      <c r="C24" s="616" t="s">
        <v>3300</v>
      </c>
      <c r="D24" s="448"/>
      <c r="E24" s="2601" t="s">
        <v>3300</v>
      </c>
      <c r="F24" s="448"/>
      <c r="G24" s="2600" t="s">
        <v>3300</v>
      </c>
      <c r="H24" s="448"/>
      <c r="I24" s="2600" t="s">
        <v>3300</v>
      </c>
      <c r="J24" s="448"/>
      <c r="K24" s="812"/>
      <c r="L24" s="1140"/>
      <c r="M24" s="1131"/>
      <c r="N24" s="1131"/>
      <c r="O24" s="1139"/>
      <c r="P24" s="3361"/>
      <c r="Q24" s="1809"/>
      <c r="R24" s="774"/>
      <c r="S24" s="775"/>
      <c r="T24" s="774"/>
      <c r="U24" s="775"/>
      <c r="V24" s="774"/>
      <c r="W24" s="775"/>
      <c r="X24" s="1812"/>
      <c r="Y24" s="3361"/>
      <c r="Z24" s="1813"/>
      <c r="AA24" s="1810"/>
      <c r="AB24" s="1810"/>
      <c r="AC24" s="1810"/>
    </row>
    <row r="25" spans="1:29" ht="27">
      <c r="A25" s="404"/>
      <c r="B25" s="1384" t="s">
        <v>2734</v>
      </c>
      <c r="C25" s="2659"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361"/>
      <c r="Q25" s="1809" t="str">
        <f t="shared" si="8"/>
        <v>自然及人文环境状况</v>
      </c>
      <c r="R25" s="774" t="s">
        <v>17</v>
      </c>
      <c r="S25" s="775">
        <f>F25</f>
        <v>100</v>
      </c>
      <c r="T25" s="774" t="s">
        <v>17</v>
      </c>
      <c r="U25" s="775">
        <f>H25</f>
        <v>100</v>
      </c>
      <c r="V25" s="774" t="s">
        <v>17</v>
      </c>
      <c r="W25" s="775">
        <f>J25</f>
        <v>100</v>
      </c>
      <c r="X25" s="1812"/>
      <c r="Y25" s="3361"/>
      <c r="Z25" s="1813" t="str">
        <f>Q25</f>
        <v>自然及人文环境状况</v>
      </c>
      <c r="AA25" s="1810">
        <f t="shared" si="3"/>
        <v>1</v>
      </c>
      <c r="AB25" s="1810">
        <f t="shared" si="4"/>
        <v>1</v>
      </c>
      <c r="AC25" s="1810">
        <f t="shared" si="5"/>
        <v>1</v>
      </c>
    </row>
    <row r="26" spans="1:29" ht="15">
      <c r="A26" s="404"/>
      <c r="B26" s="456"/>
      <c r="C26" s="447" t="s">
        <v>3778</v>
      </c>
      <c r="D26" s="448"/>
      <c r="E26" s="2607" t="s">
        <v>3778</v>
      </c>
      <c r="F26" s="448"/>
      <c r="G26" s="2607" t="s">
        <v>3778</v>
      </c>
      <c r="H26" s="448"/>
      <c r="I26" s="447" t="s">
        <v>3778</v>
      </c>
      <c r="J26" s="448"/>
      <c r="K26" s="672"/>
      <c r="L26" s="1140"/>
      <c r="M26" s="1131"/>
      <c r="N26" s="1131"/>
      <c r="O26" s="1139"/>
      <c r="P26" s="3361"/>
      <c r="Q26" s="1809"/>
      <c r="R26" s="774"/>
      <c r="S26" s="775"/>
      <c r="T26" s="774"/>
      <c r="U26" s="775"/>
      <c r="V26" s="774"/>
      <c r="W26" s="775"/>
      <c r="X26" s="1812"/>
      <c r="Y26" s="3361"/>
      <c r="Z26" s="1813"/>
      <c r="AA26" s="1810">
        <v>1</v>
      </c>
      <c r="AB26" s="1810">
        <v>1</v>
      </c>
      <c r="AC26" s="1810">
        <v>1</v>
      </c>
    </row>
    <row r="27" spans="1:29" s="117" customFormat="1" ht="15">
      <c r="A27" s="649"/>
      <c r="B27" s="1384" t="s">
        <v>2639</v>
      </c>
      <c r="C27" s="2603" t="str">
        <f>估价对象房地状况!C21</f>
        <v>较好</v>
      </c>
      <c r="D27" s="450">
        <v>100</v>
      </c>
      <c r="E27" s="452"/>
      <c r="F27" s="450">
        <f>SUMIF(100:100,E28,101:101)-SUMIF(100:100,C28,101:101)+100</f>
        <v>98</v>
      </c>
      <c r="G27" s="452"/>
      <c r="H27" s="450">
        <f>SUMIF(100:100,G28,101:101)-SUMIF(100:100,C28,101:101)+100</f>
        <v>98</v>
      </c>
      <c r="I27" s="454"/>
      <c r="J27" s="450">
        <f>SUMIF(100:100,I28,101:101)-SUMIF(100:100,C28,101:101)+100</f>
        <v>100</v>
      </c>
      <c r="K27" s="673">
        <v>2</v>
      </c>
      <c r="L27" s="1132"/>
      <c r="M27" s="1133"/>
      <c r="N27" s="1133"/>
      <c r="O27" s="1134"/>
      <c r="P27" s="3361"/>
      <c r="Q27" s="1794" t="str">
        <f t="shared" si="8"/>
        <v>公共配套设施</v>
      </c>
      <c r="R27" s="770" t="s">
        <v>17</v>
      </c>
      <c r="S27" s="771">
        <f>F27</f>
        <v>98</v>
      </c>
      <c r="T27" s="770" t="s">
        <v>17</v>
      </c>
      <c r="U27" s="771">
        <f>H27</f>
        <v>98</v>
      </c>
      <c r="V27" s="770" t="s">
        <v>17</v>
      </c>
      <c r="W27" s="771">
        <f>J27</f>
        <v>100</v>
      </c>
      <c r="X27" s="772"/>
      <c r="Y27" s="3361"/>
      <c r="Z27" s="55" t="str">
        <f>Q27</f>
        <v>公共配套设施</v>
      </c>
      <c r="AA27" s="1810">
        <f>D27/F27</f>
        <v>1.0204081632653061</v>
      </c>
      <c r="AB27" s="1810">
        <f>D27/H27</f>
        <v>1.0204081632653061</v>
      </c>
      <c r="AC27" s="1810">
        <f>D27/J27</f>
        <v>1</v>
      </c>
    </row>
    <row r="28" spans="1:29" s="117" customFormat="1" ht="15">
      <c r="A28" s="649"/>
      <c r="B28" s="456"/>
      <c r="C28" s="2695" t="s">
        <v>3300</v>
      </c>
      <c r="D28" s="448"/>
      <c r="E28" s="2607" t="s">
        <v>3778</v>
      </c>
      <c r="F28" s="448"/>
      <c r="G28" s="2607" t="s">
        <v>3778</v>
      </c>
      <c r="H28" s="448"/>
      <c r="I28" s="447" t="s">
        <v>3300</v>
      </c>
      <c r="J28" s="448"/>
      <c r="K28" s="672"/>
      <c r="L28" s="1132"/>
      <c r="M28" s="1133"/>
      <c r="N28" s="1133"/>
      <c r="O28" s="1134"/>
      <c r="P28" s="3361"/>
      <c r="Q28" s="1794"/>
      <c r="R28" s="770"/>
      <c r="S28" s="771"/>
      <c r="T28" s="770"/>
      <c r="U28" s="771"/>
      <c r="V28" s="770"/>
      <c r="W28" s="771"/>
      <c r="X28" s="772"/>
      <c r="Y28" s="3361"/>
      <c r="Z28" s="55"/>
      <c r="AA28" s="1810">
        <v>1</v>
      </c>
      <c r="AB28" s="1810">
        <v>1</v>
      </c>
      <c r="AC28" s="1810">
        <v>1</v>
      </c>
    </row>
    <row r="29" spans="1:29" s="117" customFormat="1" ht="15">
      <c r="A29" s="649"/>
      <c r="B29" s="1384" t="s">
        <v>2640</v>
      </c>
      <c r="C29" s="2603"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361"/>
      <c r="Q29" s="1794" t="str">
        <f t="shared" ref="Q29" si="9">B29</f>
        <v>基础设施水平</v>
      </c>
      <c r="R29" s="770" t="s">
        <v>17</v>
      </c>
      <c r="S29" s="771">
        <f>F29</f>
        <v>100</v>
      </c>
      <c r="T29" s="770" t="s">
        <v>17</v>
      </c>
      <c r="U29" s="771">
        <f>H29</f>
        <v>100</v>
      </c>
      <c r="V29" s="770" t="s">
        <v>17</v>
      </c>
      <c r="W29" s="771">
        <f>J29</f>
        <v>100</v>
      </c>
      <c r="X29" s="772"/>
      <c r="Y29" s="3361"/>
      <c r="Z29" s="55" t="str">
        <f>Q29</f>
        <v>基础设施水平</v>
      </c>
      <c r="AA29" s="1810">
        <f>D29/F29</f>
        <v>1</v>
      </c>
      <c r="AB29" s="1810">
        <f>D29/H29</f>
        <v>1</v>
      </c>
      <c r="AC29" s="1810">
        <f>D29/J29</f>
        <v>1</v>
      </c>
    </row>
    <row r="30" spans="1:29" s="117" customFormat="1" ht="15">
      <c r="A30" s="649"/>
      <c r="B30" s="456"/>
      <c r="C30" s="2695" t="s">
        <v>3780</v>
      </c>
      <c r="D30" s="448"/>
      <c r="E30" s="2696" t="s">
        <v>3780</v>
      </c>
      <c r="F30" s="448"/>
      <c r="G30" s="2696" t="s">
        <v>3780</v>
      </c>
      <c r="H30" s="448"/>
      <c r="I30" s="2696" t="s">
        <v>3780</v>
      </c>
      <c r="J30" s="448"/>
      <c r="K30" s="672"/>
      <c r="L30" s="1132"/>
      <c r="M30" s="1133"/>
      <c r="N30" s="1133"/>
      <c r="O30" s="1134"/>
      <c r="P30" s="3361"/>
      <c r="Q30" s="1794"/>
      <c r="R30" s="770"/>
      <c r="S30" s="771"/>
      <c r="T30" s="770"/>
      <c r="U30" s="771"/>
      <c r="V30" s="770"/>
      <c r="W30" s="771"/>
      <c r="X30" s="772"/>
      <c r="Y30" s="3361"/>
      <c r="Z30" s="55"/>
      <c r="AA30" s="1810">
        <v>1</v>
      </c>
      <c r="AB30" s="1810">
        <v>1</v>
      </c>
      <c r="AC30" s="1810">
        <v>1</v>
      </c>
    </row>
    <row r="31" spans="1:29" ht="15">
      <c r="A31" s="428"/>
      <c r="B31" s="456" t="s">
        <v>2641</v>
      </c>
      <c r="C31" s="616" t="s">
        <v>3783</v>
      </c>
      <c r="D31" s="435">
        <v>100</v>
      </c>
      <c r="E31" s="634" t="s">
        <v>3783</v>
      </c>
      <c r="F31" s="435">
        <f>SUMIF(104:104,E31,105:105)-SUMIF(104:104,C31,105:105)+100</f>
        <v>100</v>
      </c>
      <c r="G31" s="634" t="s">
        <v>3784</v>
      </c>
      <c r="H31" s="435">
        <f>SUMIF(104:104,G31,105:105)-SUMIF(104:104,C31,105:105)+100</f>
        <v>102</v>
      </c>
      <c r="I31" s="634" t="s">
        <v>3785</v>
      </c>
      <c r="J31" s="435">
        <f>SUMIF(104:104,I31,105:105)-SUMIF(104:104,C31,105:105)+100</f>
        <v>104</v>
      </c>
      <c r="K31" s="673">
        <v>2</v>
      </c>
      <c r="L31" s="1140"/>
      <c r="M31" s="1131"/>
      <c r="N31" s="1131"/>
      <c r="O31" s="1139"/>
      <c r="P31" s="3361"/>
      <c r="Q31" s="1809" t="str">
        <f t="shared" si="8"/>
        <v>临街状况</v>
      </c>
      <c r="R31" s="774" t="s">
        <v>17</v>
      </c>
      <c r="S31" s="775">
        <f t="shared" ref="S31:S45" si="10">F31</f>
        <v>100</v>
      </c>
      <c r="T31" s="774" t="s">
        <v>17</v>
      </c>
      <c r="U31" s="775">
        <f t="shared" ref="U31:U45" si="11">H31</f>
        <v>102</v>
      </c>
      <c r="V31" s="774" t="s">
        <v>17</v>
      </c>
      <c r="W31" s="775">
        <f t="shared" ref="W31:W45" si="12">J31</f>
        <v>104</v>
      </c>
      <c r="X31" s="1812"/>
      <c r="Y31" s="3361"/>
      <c r="Z31" s="1813" t="str">
        <f t="shared" ref="Z31:Z45" si="13">Q31</f>
        <v>临街状况</v>
      </c>
      <c r="AA31" s="1810">
        <f t="shared" si="3"/>
        <v>1</v>
      </c>
      <c r="AB31" s="1810">
        <f t="shared" si="4"/>
        <v>0.98039215686274506</v>
      </c>
      <c r="AC31" s="1810">
        <f t="shared" si="5"/>
        <v>0.96153846153846156</v>
      </c>
    </row>
    <row r="32" spans="1:29" ht="27">
      <c r="A32" s="428"/>
      <c r="B32" s="1384" t="s">
        <v>2676</v>
      </c>
      <c r="C32" s="454"/>
      <c r="D32" s="450">
        <v>100</v>
      </c>
      <c r="E32" s="452"/>
      <c r="F32" s="450">
        <f>SUMIF(106:106,E33,107:107)-SUMIF(106:106,C33,107:107)+100</f>
        <v>99</v>
      </c>
      <c r="G32" s="452"/>
      <c r="H32" s="450">
        <f>SUMIF(106:106,G33,107:107)-SUMIF(106:106,C33,107:107)+100</f>
        <v>99</v>
      </c>
      <c r="I32" s="454"/>
      <c r="J32" s="450">
        <f>SUMIF(106:106,I33,107:107)-SUMIF(106:106,C33,107:107)+100</f>
        <v>101</v>
      </c>
      <c r="K32" s="673">
        <v>1</v>
      </c>
      <c r="L32" s="1140"/>
      <c r="M32" s="1131"/>
      <c r="N32" s="1131"/>
      <c r="O32" s="1139"/>
      <c r="P32" s="3361"/>
      <c r="Q32" s="1809" t="str">
        <f t="shared" si="8"/>
        <v>毗邻道路的类型与等级</v>
      </c>
      <c r="R32" s="774" t="s">
        <v>17</v>
      </c>
      <c r="S32" s="775">
        <f t="shared" si="10"/>
        <v>99</v>
      </c>
      <c r="T32" s="774" t="s">
        <v>17</v>
      </c>
      <c r="U32" s="775">
        <f t="shared" si="11"/>
        <v>99</v>
      </c>
      <c r="V32" s="774" t="s">
        <v>17</v>
      </c>
      <c r="W32" s="775">
        <f t="shared" si="12"/>
        <v>101</v>
      </c>
      <c r="X32" s="1812"/>
      <c r="Y32" s="3361"/>
      <c r="Z32" s="1813" t="str">
        <f t="shared" si="13"/>
        <v>毗邻道路的类型与等级</v>
      </c>
      <c r="AA32" s="1810">
        <f t="shared" si="3"/>
        <v>1.0101010101010102</v>
      </c>
      <c r="AB32" s="1810">
        <f t="shared" si="4"/>
        <v>1.0101010101010102</v>
      </c>
      <c r="AC32" s="1810">
        <f t="shared" si="5"/>
        <v>0.99009900990099009</v>
      </c>
    </row>
    <row r="33" spans="1:29" ht="15.75" thickBot="1">
      <c r="A33" s="428"/>
      <c r="B33" s="456"/>
      <c r="C33" s="447" t="s">
        <v>3775</v>
      </c>
      <c r="D33" s="448"/>
      <c r="E33" s="2607" t="s">
        <v>3786</v>
      </c>
      <c r="F33" s="448"/>
      <c r="G33" s="2607" t="s">
        <v>3786</v>
      </c>
      <c r="H33" s="448"/>
      <c r="I33" s="447" t="s">
        <v>3787</v>
      </c>
      <c r="J33" s="448"/>
      <c r="K33" s="613"/>
      <c r="L33" s="1140"/>
      <c r="M33" s="1131"/>
      <c r="N33" s="1131"/>
      <c r="O33" s="1139"/>
      <c r="P33" s="3361"/>
      <c r="Q33" s="1809"/>
      <c r="R33" s="774"/>
      <c r="S33" s="775"/>
      <c r="T33" s="774"/>
      <c r="U33" s="775"/>
      <c r="V33" s="774"/>
      <c r="W33" s="775"/>
      <c r="X33" s="1812"/>
      <c r="Y33" s="3361"/>
      <c r="Z33" s="1813"/>
      <c r="AA33" s="1810">
        <v>1</v>
      </c>
      <c r="AB33" s="1810">
        <v>1</v>
      </c>
      <c r="AC33" s="1810">
        <v>1</v>
      </c>
    </row>
    <row r="34" spans="1:29" ht="15" hidden="1">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61"/>
      <c r="Q34" s="1809" t="str">
        <f t="shared" si="8"/>
        <v>土地级别</v>
      </c>
      <c r="R34" s="774" t="s">
        <v>17</v>
      </c>
      <c r="S34" s="775">
        <f t="shared" si="10"/>
        <v>100</v>
      </c>
      <c r="T34" s="774" t="s">
        <v>17</v>
      </c>
      <c r="U34" s="775">
        <f t="shared" si="11"/>
        <v>100</v>
      </c>
      <c r="V34" s="774" t="s">
        <v>17</v>
      </c>
      <c r="W34" s="775">
        <f t="shared" si="12"/>
        <v>100</v>
      </c>
      <c r="X34" s="1812"/>
      <c r="Y34" s="3361"/>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61"/>
      <c r="Q35" s="1809">
        <f t="shared" si="8"/>
        <v>111</v>
      </c>
      <c r="R35" s="774" t="s">
        <v>17</v>
      </c>
      <c r="S35" s="775">
        <f t="shared" si="10"/>
        <v>100</v>
      </c>
      <c r="T35" s="774" t="s">
        <v>17</v>
      </c>
      <c r="U35" s="775">
        <f t="shared" si="11"/>
        <v>100</v>
      </c>
      <c r="V35" s="774" t="s">
        <v>17</v>
      </c>
      <c r="W35" s="775">
        <f t="shared" si="12"/>
        <v>100</v>
      </c>
      <c r="X35" s="1812"/>
      <c r="Y35" s="3361"/>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62" t="s">
        <v>2551</v>
      </c>
      <c r="Q36" s="1809">
        <f t="shared" si="8"/>
        <v>111</v>
      </c>
      <c r="R36" s="774" t="s">
        <v>17</v>
      </c>
      <c r="S36" s="775">
        <f t="shared" si="10"/>
        <v>100</v>
      </c>
      <c r="T36" s="774" t="s">
        <v>17</v>
      </c>
      <c r="U36" s="775">
        <f t="shared" si="11"/>
        <v>100</v>
      </c>
      <c r="V36" s="774" t="s">
        <v>17</v>
      </c>
      <c r="W36" s="775">
        <f t="shared" si="12"/>
        <v>100</v>
      </c>
      <c r="X36" s="1812"/>
      <c r="Y36" s="3363" t="s">
        <v>2551</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63"/>
      <c r="Q37" s="1809">
        <f t="shared" si="8"/>
        <v>111</v>
      </c>
      <c r="R37" s="777" t="s">
        <v>17</v>
      </c>
      <c r="S37" s="778">
        <f t="shared" si="10"/>
        <v>100</v>
      </c>
      <c r="T37" s="777" t="s">
        <v>17</v>
      </c>
      <c r="U37" s="778">
        <f t="shared" si="11"/>
        <v>100</v>
      </c>
      <c r="V37" s="777" t="s">
        <v>17</v>
      </c>
      <c r="W37" s="778">
        <f t="shared" si="12"/>
        <v>100</v>
      </c>
      <c r="X37" s="779"/>
      <c r="Y37" s="3363"/>
      <c r="Z37" s="780">
        <f t="shared" si="13"/>
        <v>111</v>
      </c>
      <c r="AA37" s="1810">
        <f t="shared" si="3"/>
        <v>1</v>
      </c>
      <c r="AB37" s="1810">
        <f t="shared" si="4"/>
        <v>1</v>
      </c>
      <c r="AC37" s="1810">
        <f t="shared" si="5"/>
        <v>1</v>
      </c>
    </row>
    <row r="38" spans="1:29" ht="15">
      <c r="A38" s="472" t="s">
        <v>2549</v>
      </c>
      <c r="B38" s="456" t="s">
        <v>2736</v>
      </c>
      <c r="C38" s="3069">
        <f>土地信息!C5</f>
        <v>45488.7</v>
      </c>
      <c r="D38" s="467">
        <v>100</v>
      </c>
      <c r="E38" s="679">
        <f>土地案例!D5</f>
        <v>35957.699999999997</v>
      </c>
      <c r="F38" s="467">
        <f>LOOKUP(E38,117:117,118:118)-LOOKUP(C38,117:117,118:118)+100</f>
        <v>100</v>
      </c>
      <c r="G38" s="679">
        <f>土地案例!D12</f>
        <v>34709.5</v>
      </c>
      <c r="H38" s="467">
        <f>LOOKUP(G38,117:117,118:118)-LOOKUP(C38,117:117,118:118)+100</f>
        <v>100</v>
      </c>
      <c r="I38" s="530">
        <f>土地案例!D18</f>
        <v>91047.9</v>
      </c>
      <c r="J38" s="467">
        <f>LOOKUP(I38,117:117,118:118)-LOOKUP(C38,117:117,118:118)+100</f>
        <v>104</v>
      </c>
      <c r="K38" s="613"/>
      <c r="L38" s="1140"/>
      <c r="M38" s="1131"/>
      <c r="N38" s="1131"/>
      <c r="O38" s="1139"/>
      <c r="P38" s="3363"/>
      <c r="Q38" s="1809" t="str">
        <f>B38</f>
        <v>宗地面积</v>
      </c>
      <c r="R38" s="774" t="s">
        <v>17</v>
      </c>
      <c r="S38" s="775">
        <f t="shared" si="10"/>
        <v>100</v>
      </c>
      <c r="T38" s="774" t="s">
        <v>17</v>
      </c>
      <c r="U38" s="775">
        <f t="shared" si="11"/>
        <v>100</v>
      </c>
      <c r="V38" s="774" t="s">
        <v>17</v>
      </c>
      <c r="W38" s="775">
        <f t="shared" si="12"/>
        <v>104</v>
      </c>
      <c r="X38" s="1812"/>
      <c r="Y38" s="3363"/>
      <c r="Z38" s="1813" t="str">
        <f t="shared" si="13"/>
        <v>宗地面积</v>
      </c>
      <c r="AA38" s="1810">
        <f t="shared" si="3"/>
        <v>1</v>
      </c>
      <c r="AB38" s="1810">
        <f t="shared" si="4"/>
        <v>1</v>
      </c>
      <c r="AC38" s="1810">
        <f t="shared" si="5"/>
        <v>0.96153846153846156</v>
      </c>
    </row>
    <row r="39" spans="1:29" ht="15">
      <c r="A39" s="472"/>
      <c r="B39" s="422" t="s">
        <v>2737</v>
      </c>
      <c r="C39" s="2609" t="s">
        <v>3781</v>
      </c>
      <c r="D39" s="435">
        <v>100</v>
      </c>
      <c r="E39" s="2609" t="s">
        <v>3781</v>
      </c>
      <c r="F39" s="435">
        <f>SUMIF(119:119,E39,120:120)-SUMIF(119:119,C39,120:120)+100</f>
        <v>100</v>
      </c>
      <c r="G39" s="2609" t="s">
        <v>3781</v>
      </c>
      <c r="H39" s="435">
        <f>SUMIF(119:119,G39,120:120)-SUMIF(119:119,C39,120:120)+100</f>
        <v>100</v>
      </c>
      <c r="I39" s="2609" t="s">
        <v>3781</v>
      </c>
      <c r="J39" s="435">
        <f>SUMIF(119:119,I39,120:120)-SUMIF(119:119,C39,120:120)+100</f>
        <v>100</v>
      </c>
      <c r="K39" s="612">
        <v>2</v>
      </c>
      <c r="L39" s="1140"/>
      <c r="M39" s="1131"/>
      <c r="N39" s="1131"/>
      <c r="O39" s="1139"/>
      <c r="P39" s="3363"/>
      <c r="Q39" s="1809" t="str">
        <f t="shared" ref="Q39:Q45" si="14">B39</f>
        <v>宗地形状</v>
      </c>
      <c r="R39" s="774" t="s">
        <v>17</v>
      </c>
      <c r="S39" s="775">
        <f t="shared" si="10"/>
        <v>100</v>
      </c>
      <c r="T39" s="774" t="s">
        <v>17</v>
      </c>
      <c r="U39" s="775">
        <f t="shared" si="11"/>
        <v>100</v>
      </c>
      <c r="V39" s="774" t="s">
        <v>17</v>
      </c>
      <c r="W39" s="775">
        <f t="shared" si="12"/>
        <v>100</v>
      </c>
      <c r="X39" s="1812"/>
      <c r="Y39" s="3363"/>
      <c r="Z39" s="1813" t="str">
        <f t="shared" si="13"/>
        <v>宗地形状</v>
      </c>
      <c r="AA39" s="1810">
        <f t="shared" si="3"/>
        <v>1</v>
      </c>
      <c r="AB39" s="1810">
        <f t="shared" si="4"/>
        <v>1</v>
      </c>
      <c r="AC39" s="1810">
        <f t="shared" si="5"/>
        <v>1</v>
      </c>
    </row>
    <row r="40" spans="1:29" ht="15" hidden="1">
      <c r="A40" s="472"/>
      <c r="B40" s="422" t="s">
        <v>2738</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363"/>
      <c r="Q40" s="1809" t="str">
        <f t="shared" si="14"/>
        <v>临街宽度及深度</v>
      </c>
      <c r="R40" s="774" t="s">
        <v>17</v>
      </c>
      <c r="S40" s="775">
        <f t="shared" si="10"/>
        <v>100</v>
      </c>
      <c r="T40" s="774" t="s">
        <v>17</v>
      </c>
      <c r="U40" s="775">
        <f t="shared" si="11"/>
        <v>100</v>
      </c>
      <c r="V40" s="774" t="s">
        <v>17</v>
      </c>
      <c r="W40" s="775">
        <f t="shared" si="12"/>
        <v>100</v>
      </c>
      <c r="X40" s="1812"/>
      <c r="Y40" s="3363"/>
      <c r="Z40" s="1813" t="str">
        <f t="shared" si="13"/>
        <v>临街宽度及深度</v>
      </c>
      <c r="AA40" s="1810">
        <f t="shared" si="3"/>
        <v>1</v>
      </c>
      <c r="AB40" s="1810">
        <f t="shared" si="4"/>
        <v>1</v>
      </c>
      <c r="AC40" s="1810">
        <f t="shared" si="5"/>
        <v>1</v>
      </c>
    </row>
    <row r="41" spans="1:29" s="117" customFormat="1" ht="15">
      <c r="A41" s="473"/>
      <c r="B41" s="422" t="s">
        <v>2739</v>
      </c>
      <c r="C41" s="2697" t="s">
        <v>3780</v>
      </c>
      <c r="D41" s="136">
        <v>100</v>
      </c>
      <c r="E41" s="2697" t="s">
        <v>3782</v>
      </c>
      <c r="F41" s="435">
        <f>SUMIF(123:123,E41,124:124)-SUMIF(123:123,C41,124:124)+100</f>
        <v>98</v>
      </c>
      <c r="G41" s="2697" t="s">
        <v>3782</v>
      </c>
      <c r="H41" s="435">
        <f>SUMIF(123:123,G41,124:124)-SUMIF(123:123,C41,124:124)+100</f>
        <v>98</v>
      </c>
      <c r="I41" s="2697" t="s">
        <v>3782</v>
      </c>
      <c r="J41" s="435">
        <f>SUMIF(123:123,I41,124:124)-SUMIF(123:123,C41,124:124)+100</f>
        <v>98</v>
      </c>
      <c r="K41" s="612">
        <v>0.5</v>
      </c>
      <c r="L41" s="1132"/>
      <c r="M41" s="1133"/>
      <c r="N41" s="1133"/>
      <c r="O41" s="1134"/>
      <c r="P41" s="3363"/>
      <c r="Q41" s="1809" t="str">
        <f t="shared" si="14"/>
        <v>宗地开发程度</v>
      </c>
      <c r="R41" s="770" t="s">
        <v>17</v>
      </c>
      <c r="S41" s="771">
        <f t="shared" si="10"/>
        <v>98</v>
      </c>
      <c r="T41" s="770" t="s">
        <v>17</v>
      </c>
      <c r="U41" s="771">
        <f t="shared" si="11"/>
        <v>98</v>
      </c>
      <c r="V41" s="770" t="s">
        <v>17</v>
      </c>
      <c r="W41" s="771">
        <f t="shared" si="12"/>
        <v>98</v>
      </c>
      <c r="X41" s="772"/>
      <c r="Y41" s="3363"/>
      <c r="Z41" s="55" t="str">
        <f t="shared" si="13"/>
        <v>宗地开发程度</v>
      </c>
      <c r="AA41" s="773">
        <f t="shared" si="3"/>
        <v>1.0204081632653061</v>
      </c>
      <c r="AB41" s="773">
        <f t="shared" si="4"/>
        <v>1.0204081632653061</v>
      </c>
      <c r="AC41" s="773">
        <f t="shared" si="5"/>
        <v>1.0204081632653061</v>
      </c>
    </row>
    <row r="42" spans="1:29" ht="15.75" thickBot="1">
      <c r="A42" s="472"/>
      <c r="B42" s="422" t="s">
        <v>2740</v>
      </c>
      <c r="C42" s="2609" t="s">
        <v>3300</v>
      </c>
      <c r="D42" s="435">
        <v>100</v>
      </c>
      <c r="E42" s="2609" t="s">
        <v>3300</v>
      </c>
      <c r="F42" s="435">
        <f>SUMIF(125:125,E42,126:126)-SUMIF(125:125,C42,126:126)+100</f>
        <v>100</v>
      </c>
      <c r="G42" s="2609" t="s">
        <v>3300</v>
      </c>
      <c r="H42" s="435">
        <f>SUMIF(125:125,G42,126:126)-SUMIF(125:125,C42,126:126)+100</f>
        <v>100</v>
      </c>
      <c r="I42" s="2609" t="s">
        <v>3300</v>
      </c>
      <c r="J42" s="435">
        <f>SUMIF(125:125,I42,126:126)-SUMIF(125:125,C42,126:126)+100</f>
        <v>100</v>
      </c>
      <c r="K42" s="612">
        <v>1</v>
      </c>
      <c r="L42" s="1140"/>
      <c r="M42" s="1131"/>
      <c r="N42" s="1131"/>
      <c r="O42" s="1139"/>
      <c r="P42" s="3363" t="s">
        <v>2551</v>
      </c>
      <c r="Q42" s="1809" t="str">
        <f t="shared" si="14"/>
        <v>工程地质条件</v>
      </c>
      <c r="R42" s="774" t="s">
        <v>17</v>
      </c>
      <c r="S42" s="775">
        <f t="shared" si="10"/>
        <v>100</v>
      </c>
      <c r="T42" s="774" t="s">
        <v>17</v>
      </c>
      <c r="U42" s="775">
        <f t="shared" si="11"/>
        <v>100</v>
      </c>
      <c r="V42" s="774" t="s">
        <v>17</v>
      </c>
      <c r="W42" s="775">
        <f t="shared" si="12"/>
        <v>100</v>
      </c>
      <c r="X42" s="1812"/>
      <c r="Y42" s="3363" t="s">
        <v>2551</v>
      </c>
      <c r="Z42" s="1813" t="str">
        <f t="shared" si="13"/>
        <v>工程地质条件</v>
      </c>
      <c r="AA42" s="1810">
        <f t="shared" si="3"/>
        <v>1</v>
      </c>
      <c r="AB42" s="1810">
        <f t="shared" si="4"/>
        <v>1</v>
      </c>
      <c r="AC42" s="1810">
        <f t="shared" si="5"/>
        <v>1</v>
      </c>
    </row>
    <row r="43" spans="1:29" ht="15" hidden="1">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63"/>
      <c r="Q43" s="1809">
        <f t="shared" si="14"/>
        <v>0</v>
      </c>
      <c r="R43" s="774" t="s">
        <v>17</v>
      </c>
      <c r="S43" s="775">
        <f t="shared" si="10"/>
        <v>100</v>
      </c>
      <c r="T43" s="774" t="s">
        <v>17</v>
      </c>
      <c r="U43" s="775">
        <f t="shared" si="11"/>
        <v>100</v>
      </c>
      <c r="V43" s="774" t="s">
        <v>17</v>
      </c>
      <c r="W43" s="775">
        <f t="shared" si="12"/>
        <v>100</v>
      </c>
      <c r="X43" s="1812"/>
      <c r="Y43" s="3363"/>
      <c r="Z43" s="1813">
        <f t="shared" si="13"/>
        <v>0</v>
      </c>
      <c r="AA43" s="1810">
        <f t="shared" si="3"/>
        <v>1</v>
      </c>
      <c r="AB43" s="1810">
        <f t="shared" si="4"/>
        <v>1</v>
      </c>
      <c r="AC43" s="1810">
        <f t="shared" si="5"/>
        <v>1</v>
      </c>
    </row>
    <row r="44" spans="1:29" ht="15" hidden="1">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63"/>
      <c r="Q44" s="1809">
        <f t="shared" si="14"/>
        <v>0</v>
      </c>
      <c r="R44" s="774" t="s">
        <v>17</v>
      </c>
      <c r="S44" s="775">
        <f t="shared" si="10"/>
        <v>100</v>
      </c>
      <c r="T44" s="774" t="s">
        <v>17</v>
      </c>
      <c r="U44" s="775">
        <f t="shared" si="11"/>
        <v>100</v>
      </c>
      <c r="V44" s="774" t="s">
        <v>17</v>
      </c>
      <c r="W44" s="775">
        <f t="shared" si="12"/>
        <v>100</v>
      </c>
      <c r="X44" s="1812"/>
      <c r="Y44" s="3363"/>
      <c r="Z44" s="1813">
        <f t="shared" si="13"/>
        <v>0</v>
      </c>
      <c r="AA44" s="1810">
        <f t="shared" si="3"/>
        <v>1</v>
      </c>
      <c r="AB44" s="1810">
        <f t="shared" si="4"/>
        <v>1</v>
      </c>
      <c r="AC44" s="1810">
        <f t="shared" si="5"/>
        <v>1</v>
      </c>
    </row>
    <row r="45" spans="1:29" s="471" customFormat="1" ht="15.75" hidden="1" thickBot="1">
      <c r="A45" s="468"/>
      <c r="B45" s="1387"/>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63"/>
      <c r="Q45" s="1809">
        <f t="shared" si="14"/>
        <v>0</v>
      </c>
      <c r="R45" s="777" t="s">
        <v>17</v>
      </c>
      <c r="S45" s="778">
        <f t="shared" si="10"/>
        <v>100</v>
      </c>
      <c r="T45" s="777" t="s">
        <v>17</v>
      </c>
      <c r="U45" s="778">
        <f t="shared" si="11"/>
        <v>100</v>
      </c>
      <c r="V45" s="777" t="s">
        <v>17</v>
      </c>
      <c r="W45" s="778">
        <f t="shared" si="12"/>
        <v>100</v>
      </c>
      <c r="X45" s="779"/>
      <c r="Y45" s="3363"/>
      <c r="Z45" s="780">
        <f t="shared" si="13"/>
        <v>0</v>
      </c>
      <c r="AA45" s="1810">
        <f t="shared" si="3"/>
        <v>1</v>
      </c>
      <c r="AB45" s="1810">
        <f t="shared" si="4"/>
        <v>1</v>
      </c>
      <c r="AC45" s="1810">
        <f t="shared" si="5"/>
        <v>1</v>
      </c>
    </row>
    <row r="46" spans="1:29" ht="15">
      <c r="A46" s="479" t="s">
        <v>2705</v>
      </c>
      <c r="B46" s="2699" t="s">
        <v>2741</v>
      </c>
      <c r="C46" s="682" t="s">
        <v>1</v>
      </c>
      <c r="D46" s="481"/>
      <c r="E46" s="482">
        <f>土地案例!L5</f>
        <v>13349</v>
      </c>
      <c r="F46" s="483"/>
      <c r="G46" s="484">
        <f>土地案例!L12</f>
        <v>16167</v>
      </c>
      <c r="H46" s="485"/>
      <c r="I46" s="482">
        <f>土地案例!L18</f>
        <v>19035</v>
      </c>
      <c r="J46" s="485"/>
      <c r="K46" s="783"/>
      <c r="L46" s="1143"/>
      <c r="M46" s="1144"/>
      <c r="N46" s="1131"/>
      <c r="O46" s="1144"/>
      <c r="P46" s="3345" t="str">
        <f>A46</f>
        <v>成交单价</v>
      </c>
      <c r="Q46" s="3345"/>
      <c r="R46" s="3358">
        <f>E46</f>
        <v>13349</v>
      </c>
      <c r="S46" s="3358"/>
      <c r="T46" s="3358">
        <f>G46</f>
        <v>16167</v>
      </c>
      <c r="U46" s="3358"/>
      <c r="V46" s="3358">
        <f>I46</f>
        <v>19035</v>
      </c>
      <c r="W46" s="3358"/>
      <c r="X46" s="759"/>
      <c r="Y46" s="781"/>
      <c r="Z46" s="759"/>
      <c r="AA46" s="759"/>
      <c r="AB46" s="759"/>
      <c r="AC46" s="759"/>
    </row>
    <row r="47" spans="1:29" ht="15.75" thickBot="1">
      <c r="A47" s="486" t="s">
        <v>2654</v>
      </c>
      <c r="B47" s="683"/>
      <c r="C47" s="490">
        <f>R48</f>
        <v>17487</v>
      </c>
      <c r="D47" s="489"/>
      <c r="E47" s="490">
        <f>R47</f>
        <v>14623</v>
      </c>
      <c r="F47" s="491"/>
      <c r="G47" s="488">
        <f>T47</f>
        <v>18277</v>
      </c>
      <c r="H47" s="489"/>
      <c r="I47" s="490">
        <f>V47</f>
        <v>19560</v>
      </c>
      <c r="J47" s="489"/>
      <c r="K47" s="784"/>
      <c r="L47" s="1143"/>
      <c r="M47" s="1144"/>
      <c r="N47" s="1144"/>
      <c r="O47" s="1144"/>
      <c r="P47" s="3345" t="str">
        <f>A47</f>
        <v>比较价值（元/平方米）</v>
      </c>
      <c r="Q47" s="3345"/>
      <c r="R47" s="3364">
        <f>ROUND(PRODUCT(R46,AA7:AA45),0)</f>
        <v>14623</v>
      </c>
      <c r="S47" s="3364"/>
      <c r="T47" s="3364">
        <f>ROUND(PRODUCT(T46,AB7:AB45),0)</f>
        <v>18277</v>
      </c>
      <c r="U47" s="3364"/>
      <c r="V47" s="3364">
        <f>ROUND(PRODUCT(V46,AC7:AC45),0)</f>
        <v>19560</v>
      </c>
      <c r="W47" s="3364"/>
      <c r="X47" s="759"/>
      <c r="Y47" s="759"/>
      <c r="Z47" s="759"/>
      <c r="AA47" s="759"/>
      <c r="AB47" s="759"/>
      <c r="AC47" s="759"/>
    </row>
    <row r="48" spans="1:29" ht="15.75" thickBot="1">
      <c r="A48" s="492" t="s">
        <v>3779</v>
      </c>
      <c r="B48" s="493"/>
      <c r="C48" s="494">
        <f>R48</f>
        <v>17487</v>
      </c>
      <c r="D48" s="494"/>
      <c r="E48" s="494"/>
      <c r="F48" s="494"/>
      <c r="G48" s="494"/>
      <c r="H48" s="494"/>
      <c r="I48" s="494"/>
      <c r="J48" s="494"/>
      <c r="K48" s="785"/>
      <c r="L48" s="1143"/>
      <c r="M48" s="1144"/>
      <c r="N48" s="1144"/>
      <c r="O48" s="1144"/>
      <c r="P48" s="3365" t="str">
        <f>A48</f>
        <v>估价对象B1地块的比较价值（楼面单价，元/平方米）</v>
      </c>
      <c r="Q48" s="3366"/>
      <c r="R48" s="3367">
        <f>ROUND(AVERAGE(R47:V47),0)</f>
        <v>17487</v>
      </c>
      <c r="S48" s="3367"/>
      <c r="T48" s="3367"/>
      <c r="U48" s="3367"/>
      <c r="V48" s="3367"/>
      <c r="W48" s="336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f>IF(E46&lt;E47,E47/E46-1,E46/E47-1)</f>
        <v>9.5437860513896133E-2</v>
      </c>
      <c r="F51" s="500" t="str">
        <f>IF(OR(E51&gt;=0.3,E51&lt;=-0.3),"超过30%","")</f>
        <v/>
      </c>
      <c r="G51" s="499">
        <f>IF(G46&lt;G47,G47/G46-1,G46/G47-1)</f>
        <v>0.13051277293251684</v>
      </c>
      <c r="H51" s="500" t="str">
        <f>IF(OR(G51&gt;=0.3,G51&lt;=-0.3),"超过30%","")</f>
        <v/>
      </c>
      <c r="I51" s="499">
        <f>IF(I46&lt;I47,I47/I46-1,I46/I47-1)</f>
        <v>2.7580772261623254E-2</v>
      </c>
      <c r="J51" s="500" t="str">
        <f>IF(OR(I51&gt;=0.3,I51&lt;=-0.3),"超过30%","")</f>
        <v/>
      </c>
      <c r="K51" s="1105"/>
      <c r="L51" s="1106"/>
      <c r="M51" s="1144"/>
      <c r="N51" s="1144"/>
      <c r="O51" s="1144"/>
    </row>
    <row r="52" spans="1:15" ht="13.5" customHeight="1">
      <c r="A52" s="1144"/>
      <c r="B52" s="1144"/>
      <c r="C52" s="497" t="s">
        <v>2657</v>
      </c>
      <c r="D52" s="501"/>
      <c r="E52" s="499">
        <f>IF(E47&lt;G47,G47/E47-1,E47/G47-1)</f>
        <v>0.24988032551460027</v>
      </c>
      <c r="F52" s="500" t="str">
        <f>IF(OR(E52&gt;=0.2,E52&lt;=-0.2),"超过20%","")</f>
        <v>超过20%</v>
      </c>
      <c r="G52" s="499">
        <f>IF(G47&lt;I47,I47/G47-1,G47/I47-1)</f>
        <v>7.0197516003720484E-2</v>
      </c>
      <c r="H52" s="500" t="str">
        <f>IF(OR(G52&gt;=0.2,G52&lt;=-0.2),"超过20%","")</f>
        <v/>
      </c>
      <c r="I52" s="499">
        <f>IF(I47&lt;E47,E47/I47-1,I47/E47-1)</f>
        <v>0.33761881966764684</v>
      </c>
      <c r="J52" s="500" t="str">
        <f>IF(OR(I52&gt;=0.2,I52&lt;=-0.2),"超过20%","")</f>
        <v>超过20%</v>
      </c>
      <c r="K52" s="1105"/>
      <c r="L52" s="1106"/>
      <c r="M52" s="1144"/>
      <c r="N52" s="1144"/>
      <c r="O52" s="1144"/>
    </row>
    <row r="53" spans="1:15" s="502" customFormat="1" ht="13.5" customHeight="1">
      <c r="A53" s="1145"/>
      <c r="B53" s="1145"/>
      <c r="C53" s="497" t="s">
        <v>2658</v>
      </c>
      <c r="D53" s="501"/>
      <c r="E53" s="499">
        <f>IF(E46&lt;G46,G46/E46-1,E46/G46-1)</f>
        <v>0.21110195520263697</v>
      </c>
      <c r="F53" s="500" t="str">
        <f>IF(OR(E53&gt;=0.3,E53&lt;=-0.3),"超过30%","")</f>
        <v/>
      </c>
      <c r="G53" s="499">
        <f>IF(G46&lt;I46,I46/G46-1,G46/I46-1)</f>
        <v>0.17739840415661523</v>
      </c>
      <c r="H53" s="500" t="str">
        <f>IF(OR(G53&gt;=0.3,G53&lt;=-0.3),"超过30%","")</f>
        <v/>
      </c>
      <c r="I53" s="499">
        <f>IF(I46&lt;E46,E46/I46-1,I46/E46-1)</f>
        <v>0.4259495093265413</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2742</v>
      </c>
      <c r="B55" s="685" t="s">
        <v>2743</v>
      </c>
      <c r="C55" s="2700" t="s">
        <v>2744</v>
      </c>
      <c r="D55" s="2701" t="s">
        <v>2745</v>
      </c>
      <c r="E55" s="686" t="s">
        <v>2746</v>
      </c>
      <c r="F55" s="1107" t="s">
        <v>2747</v>
      </c>
      <c r="G55" s="3346" t="s">
        <v>2748</v>
      </c>
      <c r="H55" s="3368"/>
      <c r="I55" s="144" t="s">
        <v>2749</v>
      </c>
      <c r="J55" s="2702">
        <f>项目基本情况!F35</f>
        <v>0</v>
      </c>
      <c r="K55" s="2703" t="s">
        <v>2750</v>
      </c>
      <c r="L55" s="1106"/>
      <c r="M55" s="1144"/>
      <c r="N55" s="1144"/>
      <c r="O55" s="1144"/>
    </row>
    <row r="56" spans="1:15" s="692" customFormat="1">
      <c r="A56" s="688" t="s">
        <v>2751</v>
      </c>
      <c r="B56" s="689">
        <f>C48</f>
        <v>17487</v>
      </c>
      <c r="C56" s="690">
        <v>1</v>
      </c>
      <c r="D56" s="1163">
        <v>1</v>
      </c>
      <c r="E56" s="690">
        <f>'数据-汇总表'!E8+'数据-汇总表'!E9</f>
        <v>38206.339999999997</v>
      </c>
      <c r="F56" s="1103">
        <f t="shared" ref="F56:F65" si="15">ROUND(B56*E56/10000,0)</f>
        <v>66811</v>
      </c>
      <c r="G56" s="3369"/>
      <c r="H56" s="3345"/>
      <c r="I56" s="1108">
        <v>1</v>
      </c>
      <c r="J56" s="1111">
        <v>1</v>
      </c>
      <c r="K56" s="1145"/>
      <c r="L56" s="941"/>
      <c r="M56" s="941"/>
      <c r="N56" s="941"/>
      <c r="O56" s="941"/>
    </row>
    <row r="57" spans="1:15" s="692" customFormat="1">
      <c r="A57" s="693" t="s">
        <v>2752</v>
      </c>
      <c r="B57" s="262">
        <f>ROUND($C$48*C57*D57,0)</f>
        <v>0</v>
      </c>
      <c r="C57" s="200">
        <f t="shared" ref="C57:C65" si="16">IF($C$55="北京市系数",I57,J57)</f>
        <v>0</v>
      </c>
      <c r="D57" s="1164">
        <v>0.25</v>
      </c>
      <c r="E57" s="694"/>
      <c r="F57" s="1103">
        <f t="shared" si="15"/>
        <v>0</v>
      </c>
      <c r="G57" s="3370" t="s">
        <v>2753</v>
      </c>
      <c r="H57" s="1104">
        <f>项目基本情况!B37</f>
        <v>0</v>
      </c>
      <c r="I57" s="1108">
        <f>SUMIF(修正!A45:A56,H57,修正!B45:B56)</f>
        <v>0</v>
      </c>
      <c r="J57" s="1112"/>
      <c r="K57" s="1144"/>
      <c r="L57" s="941"/>
      <c r="M57" s="941"/>
      <c r="N57" s="941"/>
      <c r="O57" s="941"/>
    </row>
    <row r="58" spans="1:15" s="692" customFormat="1">
      <c r="A58" s="693" t="s">
        <v>2754</v>
      </c>
      <c r="B58" s="262">
        <f t="shared" ref="B58:B65" si="17">ROUND($C$48*C58*D58,0)</f>
        <v>0</v>
      </c>
      <c r="C58" s="200">
        <f t="shared" si="16"/>
        <v>0</v>
      </c>
      <c r="D58" s="1164">
        <v>0.25</v>
      </c>
      <c r="E58" s="694"/>
      <c r="F58" s="1103">
        <f t="shared" si="15"/>
        <v>0</v>
      </c>
      <c r="G58" s="3370"/>
      <c r="H58" s="1104">
        <f>项目基本情况!B37</f>
        <v>0</v>
      </c>
      <c r="I58" s="1108">
        <f>SUMIF(修正!A45:A56,H58,修正!C45:C56)</f>
        <v>0</v>
      </c>
      <c r="J58" s="1112"/>
      <c r="K58" s="1145"/>
      <c r="L58" s="941"/>
      <c r="M58" s="941"/>
      <c r="N58" s="941"/>
      <c r="O58" s="941"/>
    </row>
    <row r="59" spans="1:15" s="692" customFormat="1">
      <c r="A59" s="693" t="s">
        <v>2755</v>
      </c>
      <c r="B59" s="262">
        <f t="shared" si="17"/>
        <v>0</v>
      </c>
      <c r="C59" s="200">
        <f t="shared" si="16"/>
        <v>0</v>
      </c>
      <c r="D59" s="1164">
        <v>0.25</v>
      </c>
      <c r="E59" s="694"/>
      <c r="F59" s="1103">
        <f t="shared" si="15"/>
        <v>0</v>
      </c>
      <c r="G59" s="3370"/>
      <c r="H59" s="1104">
        <f>项目基本情况!B37</f>
        <v>0</v>
      </c>
      <c r="I59" s="1108">
        <f>SUMIF(修正!A45:A56,H59,修正!D45:D56)</f>
        <v>0</v>
      </c>
      <c r="J59" s="1112"/>
      <c r="K59" s="1144"/>
      <c r="L59" s="941"/>
      <c r="M59" s="941"/>
      <c r="N59" s="941"/>
      <c r="O59" s="941"/>
    </row>
    <row r="60" spans="1:15" s="692" customFormat="1">
      <c r="A60" s="693" t="s">
        <v>2756</v>
      </c>
      <c r="B60" s="262">
        <f t="shared" si="17"/>
        <v>0</v>
      </c>
      <c r="C60" s="200">
        <f t="shared" si="16"/>
        <v>0</v>
      </c>
      <c r="D60" s="1164">
        <v>0.25</v>
      </c>
      <c r="E60" s="694"/>
      <c r="F60" s="1103">
        <f t="shared" si="15"/>
        <v>0</v>
      </c>
      <c r="G60" s="3370"/>
      <c r="H60" s="1104">
        <f>项目基本情况!B37</f>
        <v>0</v>
      </c>
      <c r="I60" s="1108">
        <f>SUMIF(修正!A45:A56,H60,修正!E45:E56)</f>
        <v>0</v>
      </c>
      <c r="J60" s="1112"/>
      <c r="K60" s="1145"/>
      <c r="L60" s="941"/>
      <c r="M60" s="941"/>
      <c r="N60" s="941"/>
      <c r="O60" s="941"/>
    </row>
    <row r="61" spans="1:15" s="692" customFormat="1">
      <c r="A61" s="693" t="s">
        <v>2757</v>
      </c>
      <c r="B61" s="262">
        <f t="shared" si="17"/>
        <v>0</v>
      </c>
      <c r="C61" s="200">
        <f t="shared" si="16"/>
        <v>0</v>
      </c>
      <c r="D61" s="1164">
        <v>0.25</v>
      </c>
      <c r="E61" s="261">
        <f>'数据-汇总表'!E11</f>
        <v>0</v>
      </c>
      <c r="F61" s="1103">
        <f t="shared" si="15"/>
        <v>0</v>
      </c>
      <c r="G61" s="2704" t="s">
        <v>2758</v>
      </c>
      <c r="H61" s="1104">
        <f>项目基本情况!C37</f>
        <v>0</v>
      </c>
      <c r="I61" s="1108">
        <f>SUMIF(修正!A45:A56,H61,修正!F45:F56)</f>
        <v>0</v>
      </c>
      <c r="J61" s="1112"/>
      <c r="K61" s="1144"/>
      <c r="L61" s="941"/>
      <c r="M61" s="941"/>
      <c r="N61" s="941"/>
      <c r="O61" s="941"/>
    </row>
    <row r="62" spans="1:15" s="692" customFormat="1">
      <c r="A62" s="693" t="s">
        <v>2759</v>
      </c>
      <c r="B62" s="262">
        <f t="shared" si="17"/>
        <v>0</v>
      </c>
      <c r="C62" s="200">
        <f t="shared" si="16"/>
        <v>0</v>
      </c>
      <c r="D62" s="1164">
        <v>0.25</v>
      </c>
      <c r="E62" s="261">
        <f>'数据-汇总表'!E12</f>
        <v>0</v>
      </c>
      <c r="F62" s="1103">
        <f t="shared" si="15"/>
        <v>0</v>
      </c>
      <c r="G62" s="1109" t="s">
        <v>2760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2761</v>
      </c>
      <c r="B63" s="262">
        <f t="shared" si="17"/>
        <v>0</v>
      </c>
      <c r="C63" s="200">
        <f t="shared" si="16"/>
        <v>0</v>
      </c>
      <c r="D63" s="1164">
        <v>0.25</v>
      </c>
      <c r="E63" s="261">
        <f>'数据-汇总表'!E13</f>
        <v>0</v>
      </c>
      <c r="F63" s="1103">
        <f t="shared" si="15"/>
        <v>0</v>
      </c>
      <c r="G63" s="1109" t="s">
        <v>2762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2763</v>
      </c>
      <c r="B64" s="262">
        <f t="shared" si="17"/>
        <v>0</v>
      </c>
      <c r="C64" s="200">
        <f t="shared" si="16"/>
        <v>0</v>
      </c>
      <c r="D64" s="1164">
        <v>0.25</v>
      </c>
      <c r="E64" s="261">
        <f>'数据-汇总表'!E14</f>
        <v>0</v>
      </c>
      <c r="F64" s="1103">
        <f t="shared" si="15"/>
        <v>0</v>
      </c>
      <c r="G64" s="2704" t="s">
        <v>2753</v>
      </c>
      <c r="H64" s="1104">
        <f>项目基本情况!B37</f>
        <v>0</v>
      </c>
      <c r="I64" s="1108">
        <f>SUMIF(修正!A45:A56,H64,修正!H45:H56)</f>
        <v>0</v>
      </c>
      <c r="J64" s="1112"/>
      <c r="K64" s="1145"/>
      <c r="L64" s="941"/>
      <c r="M64" s="941"/>
      <c r="N64" s="941"/>
      <c r="O64" s="941"/>
    </row>
    <row r="65" spans="1:17" s="692" customFormat="1" ht="15" thickBot="1">
      <c r="A65" s="693" t="s">
        <v>2764</v>
      </c>
      <c r="B65" s="262">
        <f t="shared" si="17"/>
        <v>0</v>
      </c>
      <c r="C65" s="200">
        <f t="shared" si="16"/>
        <v>0</v>
      </c>
      <c r="D65" s="1164">
        <v>0.25</v>
      </c>
      <c r="E65" s="261">
        <f>'数据-汇总表'!E15</f>
        <v>0</v>
      </c>
      <c r="F65" s="1103">
        <f t="shared" si="15"/>
        <v>0</v>
      </c>
      <c r="G65" s="2705" t="s">
        <v>2758</v>
      </c>
      <c r="H65" s="1114">
        <f>项目基本情况!C37</f>
        <v>0</v>
      </c>
      <c r="I65" s="1110">
        <f>SUMIF(修正!A45:A56,H65,修正!H45:H56)</f>
        <v>0</v>
      </c>
      <c r="J65" s="1113"/>
      <c r="K65" s="1144"/>
      <c r="L65" s="941"/>
      <c r="M65" s="941"/>
      <c r="N65" s="941"/>
      <c r="O65" s="941"/>
    </row>
    <row r="66" spans="1:17" s="692" customFormat="1" ht="13.5" thickBot="1">
      <c r="A66" s="695" t="s">
        <v>2765</v>
      </c>
      <c r="B66" s="696" t="s">
        <v>28</v>
      </c>
      <c r="C66" s="696" t="s">
        <v>29</v>
      </c>
      <c r="D66" s="696" t="s">
        <v>1026</v>
      </c>
      <c r="E66" s="696">
        <f>IF(B46="楼面地价",SUM(E56:E65),'数据-汇总表'!D3)</f>
        <v>38206.339999999997</v>
      </c>
      <c r="F66" s="697">
        <f>IF(B46="楼面地价",SUM(F56:F65),ROUND(C48*E66/10000,0))</f>
        <v>66811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06" t="s">
        <v>2766</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07" t="s">
        <v>2767</v>
      </c>
      <c r="B71" s="332" t="str">
        <f>"北京市平均增长率"&amp;TEXT(SUMIF(基准地价修正!N21:N25,A71,基准地价修正!P21:P25),"0.00%")</f>
        <v>北京市平均增长率2.14%</v>
      </c>
      <c r="C71" s="603">
        <v>100</v>
      </c>
      <c r="D71" s="595">
        <f>C71-$C$72</f>
        <v>100</v>
      </c>
      <c r="E71" s="595">
        <f t="shared" ref="E71:O71" si="20">D71-$C$72</f>
        <v>100</v>
      </c>
      <c r="F71" s="595">
        <f t="shared" si="20"/>
        <v>100</v>
      </c>
      <c r="G71" s="595">
        <f t="shared" si="20"/>
        <v>100</v>
      </c>
      <c r="H71" s="595">
        <f t="shared" si="20"/>
        <v>100</v>
      </c>
      <c r="I71" s="595">
        <f t="shared" si="20"/>
        <v>100</v>
      </c>
      <c r="J71" s="595">
        <f t="shared" si="20"/>
        <v>100</v>
      </c>
      <c r="K71" s="595">
        <f t="shared" si="20"/>
        <v>100</v>
      </c>
      <c r="L71" s="595">
        <f t="shared" si="20"/>
        <v>100</v>
      </c>
      <c r="M71" s="595">
        <f t="shared" si="20"/>
        <v>100</v>
      </c>
      <c r="N71" s="595">
        <f t="shared" si="20"/>
        <v>100</v>
      </c>
      <c r="O71" s="595">
        <f t="shared" si="20"/>
        <v>100</v>
      </c>
      <c r="P71" s="504"/>
    </row>
    <row r="72" spans="1:17" s="117" customFormat="1" ht="15.75" thickBot="1">
      <c r="A72" s="515" t="s">
        <v>2570</v>
      </c>
      <c r="B72" s="516"/>
      <c r="C72" s="517">
        <v>0</v>
      </c>
      <c r="D72" s="518"/>
      <c r="E72" s="518"/>
      <c r="F72" s="518"/>
      <c r="G72" s="518"/>
      <c r="H72" s="518"/>
      <c r="I72" s="518"/>
      <c r="J72" s="518"/>
      <c r="K72" s="518"/>
      <c r="L72" s="518"/>
      <c r="M72" s="519"/>
      <c r="N72" s="518"/>
      <c r="O72" s="1162"/>
      <c r="P72" s="504"/>
      <c r="Q72" s="504"/>
    </row>
    <row r="73" spans="1:17" s="117" customFormat="1" ht="15">
      <c r="A73" s="521" t="s">
        <v>2536</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2540</v>
      </c>
      <c r="C75" s="2982" t="s">
        <v>3284</v>
      </c>
      <c r="D75" s="2982" t="s">
        <v>3285</v>
      </c>
      <c r="E75" s="2982" t="s">
        <v>871</v>
      </c>
      <c r="F75" s="530"/>
      <c r="G75" s="530"/>
      <c r="H75" s="530"/>
      <c r="I75" s="530"/>
      <c r="J75" s="530"/>
      <c r="K75" s="531"/>
      <c r="L75" s="532"/>
      <c r="M75" s="533"/>
      <c r="N75" s="1152"/>
      <c r="O75" s="1152"/>
      <c r="P75" s="45"/>
      <c r="Q75" s="504"/>
    </row>
    <row r="76" spans="1:17" ht="15.75" thickBot="1">
      <c r="A76" s="534"/>
      <c r="B76" s="535"/>
      <c r="C76" s="536">
        <v>100</v>
      </c>
      <c r="D76" s="536">
        <v>90</v>
      </c>
      <c r="E76" s="536">
        <v>80</v>
      </c>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83" t="s">
        <v>3286</v>
      </c>
      <c r="D82" s="2983" t="s">
        <v>3287</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6.5" hidden="1" customHeight="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2545</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2769</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2770</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2676</v>
      </c>
      <c r="C106" s="2983" t="s">
        <v>3288</v>
      </c>
      <c r="D106" s="2983" t="s">
        <v>3289</v>
      </c>
      <c r="E106" s="2983" t="s">
        <v>3290</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hidden="1" thickTop="1">
      <c r="A108" s="534"/>
      <c r="B108" s="538" t="s">
        <v>2735</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30.75" customHeight="1" thickTop="1">
      <c r="A116" s="527" t="s">
        <v>2549</v>
      </c>
      <c r="B116" s="528" t="s">
        <v>2775</v>
      </c>
      <c r="C116" s="529" t="str">
        <f>C117&amp;"(含)"&amp;"-"&amp;D117</f>
        <v>0(含)-30000</v>
      </c>
      <c r="D116" s="529" t="str">
        <f t="shared" ref="D116:M116" si="26">D117&amp;"(含)"&amp;"-"&amp;E117</f>
        <v>30000(含)-60000</v>
      </c>
      <c r="E116" s="529" t="str">
        <f t="shared" si="26"/>
        <v>60000(含)-90000</v>
      </c>
      <c r="F116" s="529" t="str">
        <f t="shared" si="26"/>
        <v>90000(含)-120000</v>
      </c>
      <c r="G116" s="529" t="str">
        <f t="shared" si="26"/>
        <v>120000(含)-150000</v>
      </c>
      <c r="H116" s="529" t="str">
        <f t="shared" si="26"/>
        <v>150000(含)-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30000</v>
      </c>
      <c r="E117" s="595">
        <v>60000</v>
      </c>
      <c r="F117" s="595">
        <v>90000</v>
      </c>
      <c r="G117" s="595">
        <v>120000</v>
      </c>
      <c r="H117" s="595">
        <v>150000</v>
      </c>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c r="J118" s="591"/>
      <c r="K118" s="591"/>
      <c r="L118" s="591"/>
      <c r="M118" s="592"/>
      <c r="N118" s="1153"/>
      <c r="O118" s="1153"/>
      <c r="P118" s="45"/>
      <c r="Q118" s="504"/>
    </row>
    <row r="119" spans="1:17" ht="15" thickTop="1">
      <c r="A119" s="599"/>
      <c r="B119" s="538" t="s">
        <v>2776</v>
      </c>
      <c r="C119" s="2984" t="s">
        <v>3291</v>
      </c>
      <c r="D119" s="2984" t="s">
        <v>3292</v>
      </c>
      <c r="E119" s="2984" t="s">
        <v>3293</v>
      </c>
      <c r="F119" s="2984" t="s">
        <v>3294</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hidden="1" thickTop="1">
      <c r="A121" s="599"/>
      <c r="B121" s="538" t="s">
        <v>2777</v>
      </c>
      <c r="C121" s="554"/>
      <c r="D121" s="554"/>
      <c r="E121" s="554"/>
      <c r="F121" s="583"/>
      <c r="G121" s="583"/>
      <c r="H121" s="583"/>
      <c r="I121" s="583"/>
      <c r="J121" s="583"/>
      <c r="K121" s="584"/>
      <c r="L121" s="585"/>
      <c r="M121" s="586"/>
      <c r="N121" s="1152"/>
      <c r="O121" s="1152"/>
      <c r="P121" s="45"/>
      <c r="Q121" s="504"/>
    </row>
    <row r="122" spans="1:17" ht="15.75" hidden="1"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2778</v>
      </c>
      <c r="C123" s="2985" t="s">
        <v>3295</v>
      </c>
      <c r="D123" s="2985" t="s">
        <v>3296</v>
      </c>
      <c r="E123" s="2985" t="s">
        <v>3297</v>
      </c>
      <c r="F123" s="2985" t="s">
        <v>3298</v>
      </c>
      <c r="G123" s="2985" t="s">
        <v>3299</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2779</v>
      </c>
      <c r="C125" s="2983" t="s">
        <v>3301</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topLeftCell="B1" workbookViewId="0">
      <selection activeCell="G5" sqref="G5"/>
    </sheetView>
  </sheetViews>
  <sheetFormatPr defaultRowHeight="12"/>
  <cols>
    <col min="1" max="1" width="43.125" style="2970" bestFit="1" customWidth="1"/>
    <col min="2" max="2" width="6.375" style="2970" bestFit="1" customWidth="1"/>
    <col min="3" max="3" width="15.125" style="2970" bestFit="1" customWidth="1"/>
    <col min="4" max="4" width="8.5" style="2970" bestFit="1" customWidth="1"/>
    <col min="5" max="5" width="9.375" style="2970" bestFit="1" customWidth="1"/>
    <col min="6" max="6" width="25.375" style="2970" customWidth="1"/>
    <col min="7" max="7" width="13.875" style="2970" customWidth="1"/>
    <col min="8" max="8" width="8" style="2970" bestFit="1" customWidth="1"/>
    <col min="9" max="9" width="10.25" style="2970" bestFit="1" customWidth="1"/>
    <col min="10" max="11" width="8.875" style="2970" bestFit="1" customWidth="1"/>
    <col min="12" max="12" width="9" style="2970"/>
    <col min="13" max="13" width="6.75" style="2970" bestFit="1" customWidth="1"/>
    <col min="14" max="14" width="37.75" style="2970" bestFit="1" customWidth="1"/>
    <col min="15" max="15" width="8" style="2970" bestFit="1" customWidth="1"/>
    <col min="16" max="16384" width="9" style="2970"/>
  </cols>
  <sheetData>
    <row r="1" spans="1:19" s="2968" customFormat="1" ht="24">
      <c r="A1" s="2967" t="s">
        <v>3060</v>
      </c>
      <c r="B1" s="2967" t="s">
        <v>3061</v>
      </c>
      <c r="C1" s="2967" t="s">
        <v>3062</v>
      </c>
      <c r="D1" s="2967" t="s">
        <v>3064</v>
      </c>
      <c r="E1" s="2967" t="s">
        <v>3065</v>
      </c>
      <c r="F1" s="2967" t="s">
        <v>3066</v>
      </c>
      <c r="G1" s="2967"/>
      <c r="H1" s="2967" t="s">
        <v>3063</v>
      </c>
      <c r="I1" s="2967" t="s">
        <v>3182</v>
      </c>
      <c r="J1" s="2967" t="s">
        <v>3069</v>
      </c>
      <c r="K1" s="2967" t="s">
        <v>3070</v>
      </c>
      <c r="L1" s="2967" t="s">
        <v>3071</v>
      </c>
      <c r="M1" s="2967" t="s">
        <v>3072</v>
      </c>
      <c r="N1" s="2967" t="s">
        <v>3068</v>
      </c>
      <c r="O1" s="2967" t="s">
        <v>3073</v>
      </c>
    </row>
    <row r="2" spans="1:19" ht="24">
      <c r="A2" s="2969" t="s">
        <v>3183</v>
      </c>
      <c r="B2" s="2969" t="s">
        <v>3184</v>
      </c>
      <c r="C2" s="2969" t="s">
        <v>3082</v>
      </c>
      <c r="D2" s="2969">
        <v>238759.9</v>
      </c>
      <c r="E2" s="2969">
        <v>280059.40000000002</v>
      </c>
      <c r="F2" s="2967" t="s">
        <v>3185</v>
      </c>
      <c r="G2" s="2967"/>
      <c r="H2" s="2969" t="s">
        <v>3077</v>
      </c>
      <c r="I2" s="2969" t="s">
        <v>3186</v>
      </c>
      <c r="J2" s="2969">
        <v>145500</v>
      </c>
      <c r="K2" s="2969">
        <v>145500</v>
      </c>
      <c r="L2" s="2969">
        <v>5195.32</v>
      </c>
      <c r="M2" s="2969">
        <v>0</v>
      </c>
      <c r="N2" s="2969" t="s">
        <v>3187</v>
      </c>
      <c r="O2" s="2969" t="s">
        <v>3134</v>
      </c>
      <c r="P2" s="2970">
        <f>ROUND(J2/E2*10000,0)</f>
        <v>5195</v>
      </c>
    </row>
    <row r="3" spans="1:19" ht="36">
      <c r="A3" s="2969" t="s">
        <v>3188</v>
      </c>
      <c r="B3" s="2969" t="s">
        <v>3184</v>
      </c>
      <c r="C3" s="2969" t="s">
        <v>3082</v>
      </c>
      <c r="D3" s="2969">
        <v>76584.5</v>
      </c>
      <c r="E3" s="2969">
        <v>141471.54</v>
      </c>
      <c r="F3" s="2967" t="s">
        <v>3189</v>
      </c>
      <c r="G3" s="2967"/>
      <c r="H3" s="2969" t="s">
        <v>3077</v>
      </c>
      <c r="I3" s="2969" t="s">
        <v>3190</v>
      </c>
      <c r="J3" s="2969">
        <v>163000</v>
      </c>
      <c r="K3" s="2969">
        <v>163000</v>
      </c>
      <c r="L3" s="2969">
        <v>11521.75</v>
      </c>
      <c r="M3" s="2969">
        <v>0</v>
      </c>
      <c r="N3" s="2969" t="s">
        <v>3191</v>
      </c>
      <c r="O3" s="2969" t="s">
        <v>3192</v>
      </c>
      <c r="P3" s="2970">
        <f t="shared" ref="P3:P23" si="0">ROUND(J3/E3*10000,0)</f>
        <v>11522</v>
      </c>
    </row>
    <row r="4" spans="1:19" ht="12.75">
      <c r="A4" s="2969" t="s">
        <v>3193</v>
      </c>
      <c r="B4" s="2969" t="s">
        <v>3184</v>
      </c>
      <c r="C4" s="2969" t="s">
        <v>3082</v>
      </c>
      <c r="D4" s="2969">
        <v>7749.5</v>
      </c>
      <c r="E4" s="2969">
        <v>51480</v>
      </c>
      <c r="F4" s="2967" t="s">
        <v>1327</v>
      </c>
      <c r="G4" s="2967"/>
      <c r="H4" s="2969" t="s">
        <v>3077</v>
      </c>
      <c r="I4" s="2969" t="s">
        <v>3194</v>
      </c>
      <c r="J4" s="2969">
        <v>32500</v>
      </c>
      <c r="K4" s="2969">
        <v>32500</v>
      </c>
      <c r="L4" s="2969">
        <v>6313.13</v>
      </c>
      <c r="M4" s="2969">
        <v>0</v>
      </c>
      <c r="N4" s="2969" t="s">
        <v>3195</v>
      </c>
      <c r="O4" s="2971" t="s">
        <v>3196</v>
      </c>
      <c r="P4" s="2970">
        <f t="shared" si="0"/>
        <v>6313</v>
      </c>
    </row>
    <row r="5" spans="1:19" s="2974" customFormat="1">
      <c r="A5" s="2972" t="s">
        <v>3197</v>
      </c>
      <c r="B5" s="2972" t="s">
        <v>3184</v>
      </c>
      <c r="C5" s="2972" t="s">
        <v>3198</v>
      </c>
      <c r="D5" s="2972">
        <v>35957.699999999997</v>
      </c>
      <c r="E5" s="2972">
        <v>71915.399999999994</v>
      </c>
      <c r="F5" s="2973" t="s">
        <v>3199</v>
      </c>
      <c r="G5" s="2973">
        <f>E5/D5</f>
        <v>2</v>
      </c>
      <c r="H5" s="2972" t="s">
        <v>3077</v>
      </c>
      <c r="I5" s="2972" t="s">
        <v>3200</v>
      </c>
      <c r="J5" s="2972">
        <v>86300</v>
      </c>
      <c r="K5" s="2972">
        <v>96000</v>
      </c>
      <c r="L5" s="2972">
        <v>13349</v>
      </c>
      <c r="M5" s="2972">
        <v>11.24</v>
      </c>
      <c r="N5" s="2972" t="s">
        <v>3201</v>
      </c>
      <c r="O5" s="2972" t="s">
        <v>3192</v>
      </c>
      <c r="P5" s="2974">
        <f t="shared" si="0"/>
        <v>12000</v>
      </c>
    </row>
    <row r="6" spans="1:19" hidden="1">
      <c r="A6" s="2969" t="s">
        <v>3202</v>
      </c>
      <c r="B6" s="2969" t="s">
        <v>3184</v>
      </c>
      <c r="C6" s="2969" t="s">
        <v>3082</v>
      </c>
      <c r="D6" s="2969">
        <v>34367.9</v>
      </c>
      <c r="E6" s="2969">
        <v>54227.360000000001</v>
      </c>
      <c r="F6" s="2967" t="s">
        <v>3203</v>
      </c>
      <c r="G6" s="2967"/>
      <c r="H6" s="2969" t="s">
        <v>3077</v>
      </c>
      <c r="I6" s="2969" t="s">
        <v>3204</v>
      </c>
      <c r="J6" s="2969">
        <v>61800</v>
      </c>
      <c r="K6" s="2969">
        <v>70500</v>
      </c>
      <c r="L6" s="2969">
        <v>13000.81</v>
      </c>
      <c r="M6" s="2969">
        <v>14.08</v>
      </c>
      <c r="N6" s="2969" t="s">
        <v>3205</v>
      </c>
      <c r="O6" s="2969" t="s">
        <v>3192</v>
      </c>
      <c r="P6" s="2970">
        <f t="shared" si="0"/>
        <v>11396</v>
      </c>
    </row>
    <row r="7" spans="1:19" hidden="1">
      <c r="A7" s="2969" t="s">
        <v>3206</v>
      </c>
      <c r="B7" s="2969" t="s">
        <v>3184</v>
      </c>
      <c r="C7" s="2969" t="s">
        <v>3082</v>
      </c>
      <c r="D7" s="2969">
        <v>27183.3</v>
      </c>
      <c r="E7" s="2969">
        <v>51098.68</v>
      </c>
      <c r="F7" s="2967" t="s">
        <v>3207</v>
      </c>
      <c r="G7" s="2967"/>
      <c r="H7" s="2969" t="s">
        <v>3077</v>
      </c>
      <c r="I7" s="2969" t="s">
        <v>3204</v>
      </c>
      <c r="J7" s="2969">
        <v>52100</v>
      </c>
      <c r="K7" s="2969">
        <v>60000</v>
      </c>
      <c r="L7" s="2969">
        <v>11741.98</v>
      </c>
      <c r="M7" s="2969">
        <v>15.16</v>
      </c>
      <c r="N7" s="2969" t="s">
        <v>3208</v>
      </c>
      <c r="O7" s="2969" t="s">
        <v>3192</v>
      </c>
      <c r="P7" s="2970">
        <f t="shared" si="0"/>
        <v>10196</v>
      </c>
    </row>
    <row r="8" spans="1:19" ht="24" hidden="1">
      <c r="A8" s="2969" t="s">
        <v>3209</v>
      </c>
      <c r="B8" s="2969" t="s">
        <v>3184</v>
      </c>
      <c r="C8" s="2969" t="s">
        <v>3082</v>
      </c>
      <c r="D8" s="2969">
        <v>70353</v>
      </c>
      <c r="E8" s="2969">
        <v>88125</v>
      </c>
      <c r="F8" s="2967" t="s">
        <v>3210</v>
      </c>
      <c r="G8" s="2967"/>
      <c r="H8" s="2969" t="s">
        <v>3077</v>
      </c>
      <c r="I8" s="2969" t="s">
        <v>3211</v>
      </c>
      <c r="J8" s="2969">
        <v>41900</v>
      </c>
      <c r="K8" s="2969">
        <v>41900</v>
      </c>
      <c r="L8" s="2969">
        <v>4754.6000000000004</v>
      </c>
      <c r="M8" s="2969">
        <v>0</v>
      </c>
      <c r="N8" s="2969" t="s">
        <v>3212</v>
      </c>
      <c r="O8" s="2969" t="s">
        <v>3134</v>
      </c>
      <c r="P8" s="2970">
        <f t="shared" si="0"/>
        <v>4755</v>
      </c>
    </row>
    <row r="9" spans="1:19" ht="36" hidden="1">
      <c r="A9" s="2969" t="s">
        <v>3213</v>
      </c>
      <c r="B9" s="2969" t="s">
        <v>3184</v>
      </c>
      <c r="C9" s="2969" t="s">
        <v>3082</v>
      </c>
      <c r="D9" s="2969">
        <v>110701.9</v>
      </c>
      <c r="E9" s="2969">
        <v>143698.5</v>
      </c>
      <c r="F9" s="2967" t="s">
        <v>3214</v>
      </c>
      <c r="G9" s="2967"/>
      <c r="H9" s="2969" t="s">
        <v>3077</v>
      </c>
      <c r="I9" s="2969" t="s">
        <v>3211</v>
      </c>
      <c r="J9" s="2969">
        <v>60800</v>
      </c>
      <c r="K9" s="2969">
        <v>60800</v>
      </c>
      <c r="L9" s="2969">
        <v>4231.07</v>
      </c>
      <c r="M9" s="2969">
        <v>0</v>
      </c>
      <c r="N9" s="2969" t="s">
        <v>3215</v>
      </c>
      <c r="O9" s="2969" t="s">
        <v>3134</v>
      </c>
      <c r="P9" s="2970">
        <f t="shared" si="0"/>
        <v>4231</v>
      </c>
    </row>
    <row r="10" spans="1:19" hidden="1">
      <c r="A10" s="2969" t="s">
        <v>3216</v>
      </c>
      <c r="B10" s="2969" t="s">
        <v>3184</v>
      </c>
      <c r="C10" s="2969" t="s">
        <v>3082</v>
      </c>
      <c r="D10" s="2969">
        <v>23555.9</v>
      </c>
      <c r="E10" s="2969">
        <v>35333.85</v>
      </c>
      <c r="F10" s="2967" t="s">
        <v>3217</v>
      </c>
      <c r="G10" s="2967"/>
      <c r="H10" s="2969" t="s">
        <v>3077</v>
      </c>
      <c r="I10" s="2969" t="s">
        <v>3218</v>
      </c>
      <c r="J10" s="2969">
        <v>32800</v>
      </c>
      <c r="K10" s="2969">
        <v>32800</v>
      </c>
      <c r="L10" s="2969">
        <v>9282.8700000000008</v>
      </c>
      <c r="M10" s="2969">
        <v>0</v>
      </c>
      <c r="N10" s="2969" t="s">
        <v>3219</v>
      </c>
      <c r="O10" s="2969" t="s">
        <v>3192</v>
      </c>
      <c r="P10" s="2970">
        <f t="shared" si="0"/>
        <v>9283</v>
      </c>
    </row>
    <row r="11" spans="1:19" ht="36" hidden="1">
      <c r="A11" s="2969" t="s">
        <v>3220</v>
      </c>
      <c r="B11" s="2969" t="s">
        <v>3184</v>
      </c>
      <c r="C11" s="2969" t="s">
        <v>3082</v>
      </c>
      <c r="D11" s="2969">
        <v>190127.3</v>
      </c>
      <c r="E11" s="2969">
        <v>372773.3</v>
      </c>
      <c r="F11" s="2967" t="s">
        <v>3221</v>
      </c>
      <c r="G11" s="2967"/>
      <c r="H11" s="2969" t="s">
        <v>3077</v>
      </c>
      <c r="I11" s="2969" t="s">
        <v>3222</v>
      </c>
      <c r="J11" s="2969">
        <v>291000</v>
      </c>
      <c r="K11" s="2969">
        <v>291000</v>
      </c>
      <c r="L11" s="2969">
        <v>7806.35</v>
      </c>
      <c r="M11" s="2969">
        <v>0</v>
      </c>
      <c r="N11" s="2969" t="s">
        <v>3223</v>
      </c>
      <c r="O11" s="2969" t="s">
        <v>3134</v>
      </c>
      <c r="P11" s="2970">
        <f t="shared" si="0"/>
        <v>7806</v>
      </c>
    </row>
    <row r="12" spans="1:19" s="2974" customFormat="1" ht="24">
      <c r="A12" s="2972" t="s">
        <v>3224</v>
      </c>
      <c r="B12" s="2972" t="s">
        <v>3184</v>
      </c>
      <c r="C12" s="2972" t="s">
        <v>3198</v>
      </c>
      <c r="D12" s="2972">
        <v>34709.5</v>
      </c>
      <c r="E12" s="2972">
        <v>64139</v>
      </c>
      <c r="F12" s="2973" t="s">
        <v>3225</v>
      </c>
      <c r="G12" s="2973">
        <v>2</v>
      </c>
      <c r="H12" s="2972" t="s">
        <v>3077</v>
      </c>
      <c r="I12" s="2972" t="s">
        <v>3226</v>
      </c>
      <c r="J12" s="2972">
        <v>85000</v>
      </c>
      <c r="K12" s="2972">
        <v>98000</v>
      </c>
      <c r="L12" s="2972">
        <f>S12</f>
        <v>16167</v>
      </c>
      <c r="M12" s="2972">
        <v>15.29</v>
      </c>
      <c r="N12" s="2972" t="s">
        <v>3227</v>
      </c>
      <c r="O12" s="2972" t="s">
        <v>3192</v>
      </c>
      <c r="P12" s="2974">
        <f t="shared" si="0"/>
        <v>13252</v>
      </c>
      <c r="R12" s="2974">
        <v>60619</v>
      </c>
      <c r="S12" s="2974">
        <f>ROUND(K12/R12*10000,0)</f>
        <v>16167</v>
      </c>
    </row>
    <row r="13" spans="1:19" ht="24" hidden="1">
      <c r="A13" s="2969" t="s">
        <v>3228</v>
      </c>
      <c r="B13" s="2969" t="s">
        <v>3184</v>
      </c>
      <c r="C13" s="2969" t="s">
        <v>3082</v>
      </c>
      <c r="D13" s="2969">
        <v>147304.4</v>
      </c>
      <c r="E13" s="2969">
        <v>92656.78</v>
      </c>
      <c r="F13" s="2967" t="s">
        <v>3229</v>
      </c>
      <c r="G13" s="2967"/>
      <c r="H13" s="2969" t="s">
        <v>3077</v>
      </c>
      <c r="I13" s="2969" t="s">
        <v>3230</v>
      </c>
      <c r="J13" s="2969">
        <v>67700</v>
      </c>
      <c r="K13" s="2969">
        <v>67700</v>
      </c>
      <c r="L13" s="2969">
        <v>7306.52</v>
      </c>
      <c r="M13" s="2969">
        <v>0</v>
      </c>
      <c r="N13" s="2969" t="s">
        <v>3231</v>
      </c>
      <c r="O13" s="2969" t="s">
        <v>3085</v>
      </c>
      <c r="P13" s="2970">
        <f t="shared" si="0"/>
        <v>7307</v>
      </c>
    </row>
    <row r="14" spans="1:19" ht="24" hidden="1">
      <c r="A14" s="2969" t="s">
        <v>3228</v>
      </c>
      <c r="B14" s="2969" t="s">
        <v>3184</v>
      </c>
      <c r="C14" s="2969" t="s">
        <v>3082</v>
      </c>
      <c r="D14" s="2969">
        <v>232103.8</v>
      </c>
      <c r="E14" s="2969">
        <v>260295.7</v>
      </c>
      <c r="F14" s="2967" t="s">
        <v>3232</v>
      </c>
      <c r="G14" s="2967"/>
      <c r="H14" s="2969" t="s">
        <v>3077</v>
      </c>
      <c r="I14" s="2969" t="s">
        <v>3233</v>
      </c>
      <c r="J14" s="2969">
        <v>150200</v>
      </c>
      <c r="K14" s="2969">
        <v>150200</v>
      </c>
      <c r="L14" s="2969">
        <v>5770.35</v>
      </c>
      <c r="M14" s="2969">
        <v>0</v>
      </c>
      <c r="N14" s="2969" t="s">
        <v>3234</v>
      </c>
      <c r="O14" s="2969" t="s">
        <v>3080</v>
      </c>
      <c r="P14" s="2970">
        <f t="shared" si="0"/>
        <v>5770</v>
      </c>
    </row>
    <row r="15" spans="1:19" hidden="1">
      <c r="A15" s="2969" t="s">
        <v>3235</v>
      </c>
      <c r="B15" s="2969" t="s">
        <v>3184</v>
      </c>
      <c r="C15" s="2969" t="s">
        <v>3076</v>
      </c>
      <c r="D15" s="2969">
        <v>9491.7000000000007</v>
      </c>
      <c r="E15" s="2969">
        <v>11390.04</v>
      </c>
      <c r="F15" s="2967" t="s">
        <v>3236</v>
      </c>
      <c r="G15" s="2967"/>
      <c r="H15" s="2969" t="s">
        <v>3077</v>
      </c>
      <c r="I15" s="2969" t="s">
        <v>3237</v>
      </c>
      <c r="J15" s="2969">
        <v>9010</v>
      </c>
      <c r="K15" s="2969">
        <v>9110</v>
      </c>
      <c r="L15" s="2969">
        <v>7998.22</v>
      </c>
      <c r="M15" s="2969">
        <v>1.1100000000000001</v>
      </c>
      <c r="N15" s="2969" t="s">
        <v>3238</v>
      </c>
      <c r="O15" s="2969" t="s">
        <v>3085</v>
      </c>
      <c r="P15" s="2970">
        <f t="shared" si="0"/>
        <v>7910</v>
      </c>
    </row>
    <row r="16" spans="1:19" ht="24" hidden="1">
      <c r="A16" s="2969" t="s">
        <v>3239</v>
      </c>
      <c r="B16" s="2969" t="s">
        <v>3184</v>
      </c>
      <c r="C16" s="2969" t="s">
        <v>3082</v>
      </c>
      <c r="D16" s="2969">
        <v>61744.5</v>
      </c>
      <c r="E16" s="2969">
        <v>65161.71</v>
      </c>
      <c r="F16" s="2967" t="s">
        <v>3240</v>
      </c>
      <c r="G16" s="2967"/>
      <c r="H16" s="2969" t="s">
        <v>3077</v>
      </c>
      <c r="I16" s="2969" t="s">
        <v>3237</v>
      </c>
      <c r="J16" s="2969">
        <v>46780</v>
      </c>
      <c r="K16" s="2969">
        <v>46880</v>
      </c>
      <c r="L16" s="2969">
        <v>7194.4</v>
      </c>
      <c r="M16" s="2969">
        <v>0.21</v>
      </c>
      <c r="N16" s="2969" t="s">
        <v>3238</v>
      </c>
      <c r="O16" s="2969" t="s">
        <v>3085</v>
      </c>
      <c r="P16" s="2970">
        <f t="shared" si="0"/>
        <v>7179</v>
      </c>
    </row>
    <row r="17" spans="1:16" s="2977" customFormat="1" hidden="1">
      <c r="A17" s="2975" t="s">
        <v>3241</v>
      </c>
      <c r="B17" s="2975" t="s">
        <v>3184</v>
      </c>
      <c r="C17" s="2975" t="s">
        <v>3082</v>
      </c>
      <c r="D17" s="2975">
        <v>59628.800000000003</v>
      </c>
      <c r="E17" s="2975">
        <v>119257.60000000001</v>
      </c>
      <c r="F17" s="2976" t="s">
        <v>3242</v>
      </c>
      <c r="G17" s="2976"/>
      <c r="H17" s="2975" t="s">
        <v>3077</v>
      </c>
      <c r="I17" s="2975" t="s">
        <v>3243</v>
      </c>
      <c r="J17" s="2975">
        <v>216500</v>
      </c>
      <c r="K17" s="2975">
        <v>315000</v>
      </c>
      <c r="L17" s="2975">
        <v>26413.4</v>
      </c>
      <c r="M17" s="2975">
        <v>45.5</v>
      </c>
      <c r="N17" s="2975" t="s">
        <v>3244</v>
      </c>
      <c r="O17" s="2975" t="s">
        <v>3192</v>
      </c>
      <c r="P17" s="2977">
        <f t="shared" si="0"/>
        <v>18154</v>
      </c>
    </row>
    <row r="18" spans="1:16" s="2974" customFormat="1">
      <c r="A18" s="2972" t="s">
        <v>3245</v>
      </c>
      <c r="B18" s="2972" t="s">
        <v>3184</v>
      </c>
      <c r="C18" s="2972" t="s">
        <v>3082</v>
      </c>
      <c r="D18" s="2972">
        <v>91047.9</v>
      </c>
      <c r="E18" s="2972">
        <v>199634.5</v>
      </c>
      <c r="F18" s="2973" t="s">
        <v>3246</v>
      </c>
      <c r="G18" s="2973">
        <f>ROUND(E18/D18,2)</f>
        <v>2.19</v>
      </c>
      <c r="H18" s="2972" t="s">
        <v>3077</v>
      </c>
      <c r="I18" s="2972" t="s">
        <v>3247</v>
      </c>
      <c r="J18" s="2972">
        <v>380000</v>
      </c>
      <c r="K18" s="2972">
        <v>380000</v>
      </c>
      <c r="L18" s="2972">
        <v>19035</v>
      </c>
      <c r="M18" s="2972">
        <v>0</v>
      </c>
      <c r="N18" s="2972" t="s">
        <v>3248</v>
      </c>
      <c r="O18" s="2972" t="s">
        <v>3192</v>
      </c>
      <c r="P18" s="2974">
        <f t="shared" si="0"/>
        <v>19035</v>
      </c>
    </row>
    <row r="19" spans="1:16" s="2977" customFormat="1" hidden="1">
      <c r="A19" s="2975" t="s">
        <v>3249</v>
      </c>
      <c r="B19" s="2975" t="s">
        <v>3184</v>
      </c>
      <c r="C19" s="2975" t="s">
        <v>3082</v>
      </c>
      <c r="D19" s="2975">
        <v>28486.400000000001</v>
      </c>
      <c r="E19" s="2975">
        <v>54073.75</v>
      </c>
      <c r="F19" s="2976" t="s">
        <v>3250</v>
      </c>
      <c r="G19" s="2976"/>
      <c r="H19" s="2975" t="s">
        <v>3077</v>
      </c>
      <c r="I19" s="2975" t="s">
        <v>3096</v>
      </c>
      <c r="J19" s="2975">
        <v>120000</v>
      </c>
      <c r="K19" s="2975">
        <v>146000</v>
      </c>
      <c r="L19" s="2975">
        <v>27000.15</v>
      </c>
      <c r="M19" s="2975">
        <v>21.67</v>
      </c>
      <c r="N19" s="2975" t="s">
        <v>3251</v>
      </c>
      <c r="O19" s="2975" t="s">
        <v>3192</v>
      </c>
      <c r="P19" s="2977">
        <f t="shared" si="0"/>
        <v>22192</v>
      </c>
    </row>
    <row r="20" spans="1:16" s="2979" customFormat="1" ht="36" hidden="1">
      <c r="A20" s="2956" t="s">
        <v>3252</v>
      </c>
      <c r="B20" s="2956" t="s">
        <v>3184</v>
      </c>
      <c r="C20" s="2956" t="s">
        <v>3082</v>
      </c>
      <c r="D20" s="2956">
        <v>64606.3</v>
      </c>
      <c r="E20" s="2956">
        <v>167447.79999999999</v>
      </c>
      <c r="F20" s="2978" t="s">
        <v>3253</v>
      </c>
      <c r="G20" s="2978"/>
      <c r="H20" s="2956" t="s">
        <v>3077</v>
      </c>
      <c r="I20" s="2956" t="s">
        <v>3254</v>
      </c>
      <c r="J20" s="2956">
        <v>107000</v>
      </c>
      <c r="K20" s="2956">
        <v>302000</v>
      </c>
      <c r="L20" s="2956">
        <v>18035.47</v>
      </c>
      <c r="M20" s="2956">
        <v>182.24</v>
      </c>
      <c r="N20" s="2956" t="s">
        <v>3255</v>
      </c>
      <c r="O20" s="2956" t="s">
        <v>3192</v>
      </c>
      <c r="P20" s="2979">
        <f t="shared" si="0"/>
        <v>6390</v>
      </c>
    </row>
    <row r="21" spans="1:16" s="2979" customFormat="1" ht="36" hidden="1">
      <c r="A21" s="2956" t="s">
        <v>3256</v>
      </c>
      <c r="B21" s="2956" t="s">
        <v>3184</v>
      </c>
      <c r="C21" s="2956" t="s">
        <v>3082</v>
      </c>
      <c r="D21" s="2956">
        <v>65169.8</v>
      </c>
      <c r="E21" s="2956">
        <v>161691.20000000001</v>
      </c>
      <c r="F21" s="2978" t="s">
        <v>3257</v>
      </c>
      <c r="G21" s="2978"/>
      <c r="H21" s="2956" t="s">
        <v>3077</v>
      </c>
      <c r="I21" s="2956" t="s">
        <v>3254</v>
      </c>
      <c r="J21" s="2956">
        <v>111000</v>
      </c>
      <c r="K21" s="2956">
        <v>308000</v>
      </c>
      <c r="L21" s="2956">
        <v>19048.650000000001</v>
      </c>
      <c r="M21" s="2956">
        <v>177.48</v>
      </c>
      <c r="N21" s="2956" t="s">
        <v>3255</v>
      </c>
      <c r="O21" s="2956" t="s">
        <v>3192</v>
      </c>
      <c r="P21" s="2979">
        <f t="shared" si="0"/>
        <v>6865</v>
      </c>
    </row>
    <row r="22" spans="1:16" ht="72" hidden="1">
      <c r="A22" s="2969" t="s">
        <v>3258</v>
      </c>
      <c r="B22" s="2969" t="s">
        <v>3184</v>
      </c>
      <c r="C22" s="2969" t="s">
        <v>3082</v>
      </c>
      <c r="D22" s="2969">
        <v>261353.1</v>
      </c>
      <c r="E22" s="2969">
        <v>510196.1</v>
      </c>
      <c r="F22" s="2967" t="s">
        <v>3259</v>
      </c>
      <c r="G22" s="2967"/>
      <c r="H22" s="2969" t="s">
        <v>3077</v>
      </c>
      <c r="I22" s="2969" t="s">
        <v>3260</v>
      </c>
      <c r="J22" s="2969">
        <v>305000</v>
      </c>
      <c r="K22" s="2969">
        <v>461000</v>
      </c>
      <c r="L22" s="2969">
        <v>9035.73</v>
      </c>
      <c r="M22" s="2969">
        <v>51.15</v>
      </c>
      <c r="N22" s="2969" t="s">
        <v>3261</v>
      </c>
      <c r="O22" s="2969" t="s">
        <v>3192</v>
      </c>
      <c r="P22" s="2970">
        <f t="shared" si="0"/>
        <v>5978</v>
      </c>
    </row>
    <row r="23" spans="1:16" hidden="1">
      <c r="A23" s="2969" t="s">
        <v>3262</v>
      </c>
      <c r="B23" s="2969" t="s">
        <v>3184</v>
      </c>
      <c r="C23" s="2969" t="s">
        <v>3076</v>
      </c>
      <c r="D23" s="2969">
        <v>72358.899999999994</v>
      </c>
      <c r="E23" s="2969">
        <v>144717.79999999999</v>
      </c>
      <c r="F23" s="2967" t="s">
        <v>3263</v>
      </c>
      <c r="G23" s="2967"/>
      <c r="H23" s="2969" t="s">
        <v>3077</v>
      </c>
      <c r="I23" s="2969" t="s">
        <v>3264</v>
      </c>
      <c r="J23" s="2969">
        <v>76000</v>
      </c>
      <c r="K23" s="2969">
        <v>76000</v>
      </c>
      <c r="L23" s="2969">
        <v>5251.6</v>
      </c>
      <c r="M23" s="2969">
        <v>0</v>
      </c>
      <c r="N23" s="2969" t="s">
        <v>3265</v>
      </c>
      <c r="O23" s="2969" t="s">
        <v>3192</v>
      </c>
      <c r="P23" s="2970">
        <f t="shared" si="0"/>
        <v>5252</v>
      </c>
    </row>
    <row r="25" spans="1:16" ht="24">
      <c r="C25" s="2980" t="s">
        <v>3266</v>
      </c>
      <c r="D25" s="2980" t="s">
        <v>3267</v>
      </c>
      <c r="E25" s="2980" t="s">
        <v>3268</v>
      </c>
    </row>
    <row r="26" spans="1:16">
      <c r="C26" s="2981" t="s">
        <v>3269</v>
      </c>
      <c r="D26" s="2981">
        <v>1</v>
      </c>
      <c r="E26" s="2981">
        <v>1.43</v>
      </c>
      <c r="F26" s="2970">
        <v>1.26</v>
      </c>
    </row>
    <row r="27" spans="1:16">
      <c r="C27" s="2981" t="s">
        <v>3270</v>
      </c>
      <c r="D27" s="2981">
        <v>0.69</v>
      </c>
      <c r="E27" s="2981">
        <v>1</v>
      </c>
      <c r="F27" s="2970">
        <v>0.87</v>
      </c>
      <c r="I27" s="2970" t="s">
        <v>3271</v>
      </c>
      <c r="J27" s="2970" t="s">
        <v>3272</v>
      </c>
      <c r="K27" s="2970" t="s">
        <v>3273</v>
      </c>
      <c r="L27" s="2970" t="s">
        <v>3274</v>
      </c>
    </row>
    <row r="28" spans="1:16">
      <c r="C28" s="2981" t="s">
        <v>3275</v>
      </c>
      <c r="D28" s="2981">
        <v>-0.26</v>
      </c>
      <c r="E28" s="2981">
        <v>0.31</v>
      </c>
      <c r="F28" s="2970">
        <v>0.12</v>
      </c>
      <c r="H28" s="2970" t="s">
        <v>3276</v>
      </c>
      <c r="I28" s="2970">
        <f>ROUND(2.3*'[1]数据-汇总表'!F27,0)</f>
        <v>87875</v>
      </c>
      <c r="J28" s="2970">
        <f>I28/I29-1</f>
        <v>0.46448570095326969</v>
      </c>
      <c r="K28" s="2970">
        <v>0.6</v>
      </c>
      <c r="L28" s="2970">
        <f>ROUND(I28*K28+I29*K29,0)</f>
        <v>76727</v>
      </c>
    </row>
    <row r="29" spans="1:16">
      <c r="C29" s="2981" t="s">
        <v>3277</v>
      </c>
      <c r="D29" s="2981">
        <v>0.38</v>
      </c>
      <c r="E29" s="2981">
        <v>0.7</v>
      </c>
      <c r="F29" s="2970">
        <v>0.57999999999999996</v>
      </c>
      <c r="H29" s="2970" t="s">
        <v>3278</v>
      </c>
      <c r="I29" s="2970">
        <f>'[1]剩余法-待开发'!B2</f>
        <v>60004</v>
      </c>
      <c r="K29" s="2970">
        <f>1-K28</f>
        <v>0.4</v>
      </c>
    </row>
    <row r="30" spans="1:16">
      <c r="C30" s="2981" t="s">
        <v>3279</v>
      </c>
      <c r="D30" s="2981">
        <v>0.64</v>
      </c>
      <c r="E30" s="2981">
        <v>1.1000000000000001</v>
      </c>
      <c r="F30" s="2970">
        <v>0.95</v>
      </c>
    </row>
    <row r="31" spans="1:16">
      <c r="C31" s="2981" t="s">
        <v>3280</v>
      </c>
      <c r="D31" s="2981">
        <v>1.21</v>
      </c>
      <c r="E31" s="2981">
        <v>0.85</v>
      </c>
      <c r="F31" s="2970">
        <v>1</v>
      </c>
      <c r="K31" s="2970">
        <f>ROUND(L28/'[1]数据-汇总表'!F27*10000,0)</f>
        <v>20082</v>
      </c>
    </row>
    <row r="32" spans="1:16">
      <c r="C32" s="2981" t="s">
        <v>3281</v>
      </c>
      <c r="D32" s="2981">
        <v>0.55000000000000004</v>
      </c>
      <c r="E32" s="2981">
        <v>1.03</v>
      </c>
      <c r="F32" s="2970">
        <v>0.92</v>
      </c>
    </row>
    <row r="33" spans="3:6">
      <c r="C33" s="2981" t="s">
        <v>3282</v>
      </c>
      <c r="D33" s="2981">
        <v>1.06</v>
      </c>
      <c r="E33" s="2981">
        <v>-0.47</v>
      </c>
      <c r="F33" s="2970">
        <v>-0.59</v>
      </c>
    </row>
    <row r="34" spans="3:6">
      <c r="C34" s="2981" t="s">
        <v>3283</v>
      </c>
      <c r="D34" s="2981">
        <f>ROUND(AVERAGE(D26:D33),2)</f>
        <v>0.66</v>
      </c>
      <c r="E34" s="2981">
        <f>ROUND(AVERAGE(E26:E33),2)</f>
        <v>0.74</v>
      </c>
      <c r="F34" s="2981">
        <f>ROUND(AVERAGE(F26:F33),2)</f>
        <v>0.64</v>
      </c>
    </row>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4"/>
  <sheetViews>
    <sheetView tabSelected="1" topLeftCell="A19" workbookViewId="0">
      <selection activeCell="E27" sqref="E27:J27"/>
    </sheetView>
  </sheetViews>
  <sheetFormatPr defaultRowHeight="13.5"/>
  <cols>
    <col min="1" max="8" width="14.625" customWidth="1"/>
    <col min="9" max="9" width="10.5" customWidth="1"/>
    <col min="10" max="10" width="11.5" customWidth="1"/>
  </cols>
  <sheetData>
    <row r="3" spans="1:8">
      <c r="A3" s="3374" t="s">
        <v>3830</v>
      </c>
      <c r="B3" s="3374"/>
      <c r="C3" s="3374"/>
      <c r="D3" s="3374"/>
      <c r="E3" s="3374"/>
      <c r="F3" s="3374"/>
      <c r="G3" s="3374"/>
      <c r="H3" s="3374"/>
    </row>
    <row r="4" spans="1:8">
      <c r="A4" s="3374"/>
      <c r="B4" s="3374"/>
      <c r="C4" s="3374"/>
      <c r="D4" s="3374"/>
      <c r="E4" s="3374"/>
      <c r="F4" s="3374"/>
      <c r="G4" s="3374"/>
      <c r="H4" s="3374"/>
    </row>
    <row r="5" spans="1:8" ht="27">
      <c r="A5" s="3076" t="s">
        <v>3832</v>
      </c>
      <c r="B5" s="3077" t="s">
        <v>3732</v>
      </c>
      <c r="C5" s="3077" t="s">
        <v>3733</v>
      </c>
      <c r="D5" s="3077" t="s">
        <v>3734</v>
      </c>
      <c r="E5" s="3077" t="s">
        <v>1355</v>
      </c>
      <c r="F5" s="3077" t="s">
        <v>3736</v>
      </c>
      <c r="G5" s="3077" t="s">
        <v>3828</v>
      </c>
      <c r="H5" s="3077" t="s">
        <v>3829</v>
      </c>
    </row>
    <row r="6" spans="1:8">
      <c r="A6" s="3073" t="s">
        <v>3834</v>
      </c>
      <c r="B6" s="3075">
        <v>38206.339999999997</v>
      </c>
      <c r="C6" s="3075">
        <v>13491.73</v>
      </c>
      <c r="D6" s="3075">
        <v>80133</v>
      </c>
      <c r="E6" s="3075">
        <v>20974</v>
      </c>
      <c r="F6" s="3075">
        <v>59394</v>
      </c>
      <c r="G6" s="3075">
        <v>80133</v>
      </c>
      <c r="H6" s="3371">
        <f ca="1">系统读取表!B8</f>
        <v>245423</v>
      </c>
    </row>
    <row r="7" spans="1:8">
      <c r="A7" s="3073" t="s">
        <v>3835</v>
      </c>
      <c r="B7" s="3075">
        <v>19828.670000000013</v>
      </c>
      <c r="C7" s="3075">
        <v>6356.69</v>
      </c>
      <c r="D7" s="3075">
        <v>43400</v>
      </c>
      <c r="E7" s="3075">
        <v>21887</v>
      </c>
      <c r="F7" s="3075">
        <v>68275</v>
      </c>
      <c r="G7" s="3075">
        <v>43400</v>
      </c>
      <c r="H7" s="3372"/>
    </row>
    <row r="8" spans="1:8">
      <c r="A8" s="3073" t="s">
        <v>3836</v>
      </c>
      <c r="B8" s="3075">
        <v>76469.600000000006</v>
      </c>
      <c r="C8" s="3075">
        <v>19117.599999999999</v>
      </c>
      <c r="D8" s="3075">
        <v>76243</v>
      </c>
      <c r="E8" s="3075">
        <v>9970</v>
      </c>
      <c r="F8" s="3075">
        <v>39881</v>
      </c>
      <c r="G8" s="3075">
        <v>76243</v>
      </c>
      <c r="H8" s="3372"/>
    </row>
    <row r="9" spans="1:8">
      <c r="A9" s="3073" t="s">
        <v>3831</v>
      </c>
      <c r="B9" s="3075">
        <v>57036.04</v>
      </c>
      <c r="C9" s="3075">
        <v>19667.8</v>
      </c>
      <c r="D9" s="3075">
        <v>59742</v>
      </c>
      <c r="E9" s="3075">
        <v>10474</v>
      </c>
      <c r="F9" s="3075">
        <v>30376</v>
      </c>
      <c r="G9" s="3075">
        <v>59742</v>
      </c>
      <c r="H9" s="3373"/>
    </row>
    <row r="10" spans="1:8" ht="18" customHeight="1">
      <c r="A10" s="3076" t="s">
        <v>3833</v>
      </c>
      <c r="B10" s="3078">
        <f>SUM(B6:B9)</f>
        <v>191540.65000000002</v>
      </c>
      <c r="C10" s="3078">
        <f t="shared" ref="C10:D10" si="0">SUM(C6:C9)</f>
        <v>58633.819999999992</v>
      </c>
      <c r="D10" s="3078">
        <f t="shared" si="0"/>
        <v>259518</v>
      </c>
      <c r="E10" s="3078" t="s">
        <v>3365</v>
      </c>
      <c r="F10" s="3078" t="s">
        <v>3365</v>
      </c>
      <c r="G10" s="3078">
        <f>SUM(G6:G9)</f>
        <v>259518</v>
      </c>
      <c r="H10" s="3078">
        <f ca="1">H6</f>
        <v>245423</v>
      </c>
    </row>
    <row r="15" spans="1:8">
      <c r="C15" s="3012">
        <f>G6</f>
        <v>80133</v>
      </c>
      <c r="D15" s="3012">
        <f>G7</f>
        <v>43400</v>
      </c>
      <c r="E15" s="3012">
        <f>G8</f>
        <v>76243</v>
      </c>
      <c r="F15" s="3012">
        <f>G9</f>
        <v>59742</v>
      </c>
      <c r="G15">
        <f>SUM(C15:F15)</f>
        <v>259518</v>
      </c>
    </row>
    <row r="16" spans="1:8">
      <c r="C16" s="3012">
        <f>E6</f>
        <v>20974</v>
      </c>
      <c r="D16" s="3012">
        <f>E7</f>
        <v>21887</v>
      </c>
      <c r="E16" s="3012">
        <f>E8</f>
        <v>9970</v>
      </c>
      <c r="F16" s="3012">
        <f>E9</f>
        <v>10474</v>
      </c>
    </row>
    <row r="19" spans="1:10" ht="14.25" thickBot="1"/>
    <row r="20" spans="1:10" ht="14.25" thickTop="1">
      <c r="A20" s="3204" t="s">
        <v>3737</v>
      </c>
      <c r="B20" s="3204" t="s">
        <v>3738</v>
      </c>
      <c r="C20" s="3204" t="s">
        <v>3739</v>
      </c>
      <c r="D20" s="3206" t="s">
        <v>3740</v>
      </c>
      <c r="E20" s="3208" t="s">
        <v>3741</v>
      </c>
      <c r="F20" s="3209"/>
      <c r="G20" s="3208" t="s">
        <v>3742</v>
      </c>
      <c r="H20" s="3209"/>
      <c r="I20" s="3208" t="s">
        <v>3743</v>
      </c>
      <c r="J20" s="3209"/>
    </row>
    <row r="21" spans="1:10">
      <c r="A21" s="3205"/>
      <c r="B21" s="3205"/>
      <c r="C21" s="3205"/>
      <c r="D21" s="3207"/>
      <c r="E21" s="3058" t="s">
        <v>3744</v>
      </c>
      <c r="F21" s="3058" t="s">
        <v>3745</v>
      </c>
      <c r="G21" s="3058" t="s">
        <v>3746</v>
      </c>
      <c r="H21" s="3058" t="s">
        <v>3745</v>
      </c>
      <c r="I21" s="3058" t="s">
        <v>3746</v>
      </c>
      <c r="J21" s="3058" t="s">
        <v>3745</v>
      </c>
    </row>
    <row r="22" spans="1:10" ht="89.25">
      <c r="A22" s="3079" t="s">
        <v>3837</v>
      </c>
      <c r="B22" s="3060">
        <v>38206.339999999997</v>
      </c>
      <c r="C22" s="3060">
        <v>38206.339999999997</v>
      </c>
      <c r="D22" s="3060">
        <v>13491.73</v>
      </c>
      <c r="E22" s="3080">
        <f ca="1">结果表!D118</f>
        <v>71587</v>
      </c>
      <c r="F22" s="3080">
        <f ca="1">J22-H22</f>
        <v>18737</v>
      </c>
      <c r="G22" s="3080">
        <f ca="1">结果表!F118</f>
        <v>8546</v>
      </c>
      <c r="H22" s="3080">
        <f ca="1">ROUND(G22/B22*10000,0)</f>
        <v>2237</v>
      </c>
      <c r="I22" s="3080">
        <f ca="1">结果表!H118</f>
        <v>80133</v>
      </c>
      <c r="J22" s="3080">
        <f ca="1">结果表!I118</f>
        <v>20974</v>
      </c>
    </row>
    <row r="23" spans="1:10" ht="89.25">
      <c r="A23" s="3079" t="s">
        <v>3838</v>
      </c>
      <c r="B23" s="3060">
        <v>19828.669999999998</v>
      </c>
      <c r="C23" s="3060">
        <v>19828.669999999998</v>
      </c>
      <c r="D23" s="3060">
        <v>6356.69</v>
      </c>
      <c r="E23" s="3080">
        <f ca="1">[4]结果表!$D$118</f>
        <v>38986</v>
      </c>
      <c r="F23" s="3080">
        <f ca="1">J23-H23</f>
        <v>19661</v>
      </c>
      <c r="G23" s="3080">
        <f ca="1">[4]结果表!$F$118</f>
        <v>4414</v>
      </c>
      <c r="H23" s="3080">
        <f ca="1">ROUND(G23/B23*10000,0)</f>
        <v>2226</v>
      </c>
      <c r="I23" s="3080">
        <f ca="1">[4]结果表!$H$118</f>
        <v>43400</v>
      </c>
      <c r="J23" s="3080">
        <f ca="1">[4]结果表!$I$118</f>
        <v>21887</v>
      </c>
    </row>
    <row r="24" spans="1:10" ht="63.75">
      <c r="A24" s="3079" t="s">
        <v>3750</v>
      </c>
      <c r="B24" s="3060">
        <v>76469.600000000006</v>
      </c>
      <c r="C24" s="3060">
        <v>0</v>
      </c>
      <c r="D24" s="3060">
        <v>19117.599999999999</v>
      </c>
      <c r="E24" s="3080">
        <f>系统读取表!D16</f>
        <v>76243</v>
      </c>
      <c r="F24" s="3080">
        <f>系统读取表!E16</f>
        <v>9970</v>
      </c>
      <c r="G24" s="3080">
        <v>0</v>
      </c>
      <c r="H24" s="3080">
        <v>0</v>
      </c>
      <c r="I24" s="3080">
        <f>E24</f>
        <v>76243</v>
      </c>
      <c r="J24" s="3080">
        <f>F24</f>
        <v>9970</v>
      </c>
    </row>
    <row r="25" spans="1:10" ht="63.75">
      <c r="A25" s="3079" t="s">
        <v>3751</v>
      </c>
      <c r="B25" s="3060">
        <v>57036.04</v>
      </c>
      <c r="C25" s="3060">
        <v>0</v>
      </c>
      <c r="D25" s="3060">
        <v>19667.8</v>
      </c>
      <c r="E25" s="3080">
        <f>系统读取表!D17</f>
        <v>59742</v>
      </c>
      <c r="F25" s="3080">
        <f>系统读取表!E17</f>
        <v>10474</v>
      </c>
      <c r="G25" s="3080">
        <v>0</v>
      </c>
      <c r="H25" s="3080">
        <v>0</v>
      </c>
      <c r="I25" s="3080">
        <f>E25</f>
        <v>59742</v>
      </c>
      <c r="J25" s="3080">
        <f>F25</f>
        <v>10474</v>
      </c>
    </row>
    <row r="26" spans="1:10">
      <c r="A26" s="3079" t="s">
        <v>37</v>
      </c>
      <c r="B26" s="3060">
        <v>191540.65</v>
      </c>
      <c r="C26" s="3060">
        <v>58035.01</v>
      </c>
      <c r="D26" s="3060">
        <v>58633.82</v>
      </c>
      <c r="E26" s="3474">
        <f ca="1">SUM(E22:E25)</f>
        <v>246558</v>
      </c>
      <c r="F26" s="3475"/>
      <c r="G26" s="3474">
        <f ca="1">SUM(G22:G25)</f>
        <v>12960</v>
      </c>
      <c r="H26" s="3475"/>
      <c r="I26" s="3474">
        <f ca="1">SUM(I22:I25)</f>
        <v>259518</v>
      </c>
      <c r="J26" s="3475"/>
    </row>
    <row r="27" spans="1:10">
      <c r="A27" s="3212" t="s">
        <v>3752</v>
      </c>
      <c r="B27" s="3213"/>
      <c r="C27" s="3213"/>
      <c r="D27" s="3214"/>
      <c r="E27" s="3476">
        <f ca="1">E26*10000</f>
        <v>2465580000</v>
      </c>
      <c r="F27" s="3477"/>
      <c r="G27" s="3476">
        <f ca="1">G26*10000</f>
        <v>129600000</v>
      </c>
      <c r="H27" s="3477"/>
      <c r="I27" s="3478">
        <f ca="1">I26*10000</f>
        <v>2595180000</v>
      </c>
      <c r="J27" s="3479"/>
    </row>
    <row r="28" spans="1:10">
      <c r="A28" s="3217" t="s">
        <v>3753</v>
      </c>
      <c r="B28" s="3218"/>
      <c r="C28" s="3218"/>
      <c r="D28" s="3219"/>
      <c r="E28" s="3210">
        <v>0</v>
      </c>
      <c r="F28" s="3220"/>
      <c r="G28" s="3220"/>
      <c r="H28" s="3220"/>
      <c r="I28" s="3220"/>
      <c r="J28" s="3211"/>
    </row>
    <row r="29" spans="1:10">
      <c r="A29" s="3212" t="s">
        <v>3752</v>
      </c>
      <c r="B29" s="3213"/>
      <c r="C29" s="3213"/>
      <c r="D29" s="3214"/>
      <c r="E29" s="3212" t="s">
        <v>3754</v>
      </c>
      <c r="F29" s="3213"/>
      <c r="G29" s="3213"/>
      <c r="H29" s="3213"/>
      <c r="I29" s="3213"/>
      <c r="J29" s="3214"/>
    </row>
    <row r="30" spans="1:10">
      <c r="A30" s="3217" t="s">
        <v>3755</v>
      </c>
      <c r="B30" s="3218"/>
      <c r="C30" s="3218"/>
      <c r="D30" s="3219"/>
      <c r="E30" s="3210">
        <f ca="1">I26</f>
        <v>259518</v>
      </c>
      <c r="F30" s="3220"/>
      <c r="G30" s="3220"/>
      <c r="H30" s="3220"/>
      <c r="I30" s="3220"/>
      <c r="J30" s="3211"/>
    </row>
    <row r="31" spans="1:10">
      <c r="A31" s="3212" t="s">
        <v>3752</v>
      </c>
      <c r="B31" s="3213"/>
      <c r="C31" s="3213"/>
      <c r="D31" s="3214"/>
      <c r="E31" s="3215">
        <f ca="1">I27</f>
        <v>2595180000</v>
      </c>
      <c r="F31" s="3220"/>
      <c r="G31" s="3220"/>
      <c r="H31" s="3220"/>
      <c r="I31" s="3220"/>
      <c r="J31" s="3211"/>
    </row>
    <row r="32" spans="1:10">
      <c r="A32" s="3217" t="s">
        <v>1281</v>
      </c>
      <c r="B32" s="3218"/>
      <c r="C32" s="3218"/>
      <c r="D32" s="3219"/>
      <c r="E32" s="3210">
        <f ca="1">系统读取表!B8</f>
        <v>245423</v>
      </c>
      <c r="F32" s="3220"/>
      <c r="G32" s="3220"/>
      <c r="H32" s="3220"/>
      <c r="I32" s="3220"/>
      <c r="J32" s="3211"/>
    </row>
    <row r="33" spans="1:10" ht="14.25" thickBot="1">
      <c r="A33" s="3221" t="s">
        <v>3752</v>
      </c>
      <c r="B33" s="3222"/>
      <c r="C33" s="3222"/>
      <c r="D33" s="3223"/>
      <c r="E33" s="3224">
        <f ca="1">E32*10000</f>
        <v>2454230000</v>
      </c>
      <c r="F33" s="3225"/>
      <c r="G33" s="3225"/>
      <c r="H33" s="3225"/>
      <c r="I33" s="3225"/>
      <c r="J33" s="3226"/>
    </row>
    <row r="34" spans="1:10" ht="14.25" thickTop="1">
      <c r="A34" s="3227" t="s">
        <v>3756</v>
      </c>
      <c r="B34" s="3227"/>
      <c r="C34" s="3227"/>
      <c r="D34" s="3227"/>
      <c r="E34" s="3227"/>
      <c r="F34" s="3227"/>
      <c r="G34" s="3227"/>
      <c r="H34" s="3227"/>
      <c r="I34" s="3227"/>
      <c r="J34" s="3227"/>
    </row>
  </sheetData>
  <mergeCells count="29">
    <mergeCell ref="H6:H9"/>
    <mergeCell ref="A3:H4"/>
    <mergeCell ref="A20:A21"/>
    <mergeCell ref="B20:B21"/>
    <mergeCell ref="C20:C21"/>
    <mergeCell ref="D20:D21"/>
    <mergeCell ref="E20:F20"/>
    <mergeCell ref="G20:H20"/>
    <mergeCell ref="I20:J20"/>
    <mergeCell ref="E26:F26"/>
    <mergeCell ref="G26:H26"/>
    <mergeCell ref="I26:J26"/>
    <mergeCell ref="A27:D27"/>
    <mergeCell ref="E27:F27"/>
    <mergeCell ref="G27:H27"/>
    <mergeCell ref="I27:J27"/>
    <mergeCell ref="A28:D28"/>
    <mergeCell ref="E28:J28"/>
    <mergeCell ref="A29:D29"/>
    <mergeCell ref="E29:J29"/>
    <mergeCell ref="A30:D30"/>
    <mergeCell ref="E30:J30"/>
    <mergeCell ref="A34:J34"/>
    <mergeCell ref="A31:D31"/>
    <mergeCell ref="E31:J31"/>
    <mergeCell ref="A32:D32"/>
    <mergeCell ref="E32:J32"/>
    <mergeCell ref="A33:D33"/>
    <mergeCell ref="E33:J33"/>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28" sqref="F2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0"/>
      <c r="C1" s="1581"/>
      <c r="D1" s="1579"/>
      <c r="E1" s="320"/>
      <c r="F1" s="320"/>
      <c r="G1" s="1580"/>
      <c r="H1" s="320"/>
      <c r="I1" s="320"/>
      <c r="J1" s="320"/>
      <c r="K1" s="320">
        <f>MATCH(C1,'数据-取费表'!A6:A16,0)+5</f>
        <v>9</v>
      </c>
    </row>
    <row r="2" spans="1:33" ht="18" customHeight="1">
      <c r="A2" s="245" t="s">
        <v>2316</v>
      </c>
      <c r="B2" s="248">
        <f ca="1">C32</f>
        <v>70104</v>
      </c>
      <c r="C2" s="320" t="s">
        <v>2449</v>
      </c>
      <c r="D2" s="320"/>
      <c r="E2" s="320"/>
      <c r="F2" s="320"/>
      <c r="G2" s="320"/>
      <c r="H2" s="320"/>
      <c r="I2" s="320"/>
      <c r="J2" s="320"/>
      <c r="K2" s="320"/>
    </row>
    <row r="3" spans="1:33" ht="18" customHeight="1" thickBot="1">
      <c r="A3" s="247" t="s">
        <v>2318</v>
      </c>
      <c r="B3" s="248">
        <f ca="1">ROUND(B2*10000/IF(C1="",'数据-汇总表'!E3,INDIRECT("'数据-取费表'!K"&amp;$K$1)),0)</f>
        <v>18349</v>
      </c>
      <c r="C3" s="320" t="s">
        <v>2450</v>
      </c>
      <c r="D3" s="320"/>
      <c r="E3" s="320"/>
      <c r="F3" s="320"/>
      <c r="G3" s="320"/>
      <c r="H3" s="320"/>
      <c r="I3" s="320"/>
      <c r="J3" s="320"/>
      <c r="K3" s="320"/>
    </row>
    <row r="4" spans="1:33" s="956" customFormat="1" ht="16.5" customHeight="1">
      <c r="A4" s="953" t="s">
        <v>2451</v>
      </c>
      <c r="B4" s="954"/>
      <c r="C4" s="996">
        <f ca="1">SUM(C8:K8)</f>
        <v>92079</v>
      </c>
      <c r="D4" s="954"/>
      <c r="E4" s="954"/>
      <c r="F4" s="954"/>
      <c r="G4" s="954"/>
      <c r="H4" s="954"/>
      <c r="I4" s="954"/>
      <c r="J4" s="954"/>
      <c r="K4" s="955"/>
    </row>
    <row r="5" spans="1:33" s="960" customFormat="1" ht="15">
      <c r="A5" s="957" t="s">
        <v>2452</v>
      </c>
      <c r="B5" s="958" t="s">
        <v>2453</v>
      </c>
      <c r="C5" s="2550" t="s">
        <v>3760</v>
      </c>
      <c r="D5" s="2550" t="s">
        <v>3762</v>
      </c>
      <c r="E5" s="2550" t="s">
        <v>3764</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f>'比较法-住宅（小高层）'!B3</f>
        <v>23987</v>
      </c>
      <c r="D6" s="962">
        <f>'比较法-住宅（平墅）'!B3</f>
        <v>26913</v>
      </c>
      <c r="E6" s="962">
        <f ca="1">收益法!B3</f>
        <v>16018</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9322.2999999999993</v>
      </c>
      <c r="D7" s="321">
        <f>SUMIF('数据-汇总表'!$C19:$C33,假设开发法!D5,'数据-汇总表'!$E19:$E33)</f>
        <v>21524.799999999999</v>
      </c>
      <c r="E7" s="321">
        <f>SUMIF('数据-汇总表'!$C19:$C33,假设开发法!E5,'数据-汇总表'!$E19:$E33)</f>
        <v>7359.24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2457</v>
      </c>
      <c r="B8" s="177" t="s">
        <v>2458</v>
      </c>
      <c r="C8" s="997">
        <f>'比较法-住宅（小高层）'!B2</f>
        <v>22361</v>
      </c>
      <c r="D8" s="997">
        <f>'比较法-住宅（平墅）'!B2</f>
        <v>57930</v>
      </c>
      <c r="E8" s="997">
        <f ca="1">收益法!B2</f>
        <v>11788</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3820</v>
      </c>
      <c r="D11" s="973"/>
      <c r="E11" s="375"/>
      <c r="F11" s="974">
        <f ca="1">1-IF('数据-取费表'!B24=0,1,IF(C1="",'数据-取费表'!N16,INDIRECT("'数据-取费表'!n"&amp;$K$1)))</f>
        <v>0.4</v>
      </c>
      <c r="G11" s="8"/>
      <c r="H11" s="968"/>
      <c r="I11" s="968"/>
      <c r="J11" s="968"/>
      <c r="K11" s="969"/>
    </row>
    <row r="12" spans="1:33" s="975" customFormat="1" ht="13.5" customHeight="1">
      <c r="A12" s="971" t="s">
        <v>1331</v>
      </c>
      <c r="B12" s="972" t="s">
        <v>2467</v>
      </c>
      <c r="C12" s="24">
        <f ca="1">ROUND(C11*F12,0)</f>
        <v>115</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93</v>
      </c>
      <c r="D13" s="1033"/>
      <c r="E13" s="375"/>
      <c r="F13" s="976">
        <f>'数据-取费表'!B34</f>
        <v>0.03</v>
      </c>
      <c r="G13" s="8" t="s">
        <v>2470</v>
      </c>
      <c r="H13" s="968"/>
      <c r="I13" s="968"/>
      <c r="J13" s="968"/>
      <c r="K13" s="969"/>
    </row>
    <row r="14" spans="1:33" s="977" customFormat="1" ht="13.5" customHeight="1">
      <c r="A14" s="971" t="s">
        <v>1333</v>
      </c>
      <c r="B14" s="972" t="s">
        <v>2471</v>
      </c>
      <c r="C14" s="24">
        <f ca="1">ROUND(D14*E14*F11/10000,0)</f>
        <v>306</v>
      </c>
      <c r="D14" s="1033">
        <f ca="1">IF(C1="",'数据-汇总表'!E3,INDIRECT("'数据-取费表'!K"&amp;$K$1)+INDIRECT("'数据-取费表'!S"&amp;$K$1))</f>
        <v>38206.339999999997</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57</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4391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38206.339999999997</v>
      </c>
      <c r="E17" s="24">
        <f>'数据-取费表'!B32</f>
        <v>0</v>
      </c>
      <c r="F17" s="978"/>
      <c r="G17" s="140" t="s">
        <v>2477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22</v>
      </c>
      <c r="D18" s="1033"/>
      <c r="E18" s="24"/>
      <c r="F18" s="976"/>
      <c r="G18" s="2552"/>
      <c r="H18" s="1576"/>
      <c r="I18" s="2553" t="s">
        <v>2479</v>
      </c>
      <c r="J18" s="979"/>
      <c r="K18" s="980"/>
    </row>
    <row r="19" spans="1:33" s="975" customFormat="1" ht="13.5" customHeight="1">
      <c r="A19" s="971" t="s">
        <v>805</v>
      </c>
      <c r="B19" s="972" t="s">
        <v>2480</v>
      </c>
      <c r="C19" s="24">
        <f ca="1">ROUND(D19*E19/10000,0)</f>
        <v>895</v>
      </c>
      <c r="D19" s="1033">
        <f ca="1">IF(C1="",'数据-汇总表'!E5,IF(INDIRECT("'数据-取费表'!c"&amp;$K$1)="住宅",INDIRECT("'数据-取费表'!k"&amp;$K$1),0))</f>
        <v>30847.1</v>
      </c>
      <c r="E19" s="24">
        <f>'数据-取费表'!B27</f>
        <v>290</v>
      </c>
      <c r="F19" s="976"/>
      <c r="G19" s="15"/>
      <c r="H19" s="1578"/>
      <c r="I19" s="981"/>
      <c r="J19" s="981"/>
      <c r="K19" s="982"/>
    </row>
    <row r="20" spans="1:33" s="975" customFormat="1" ht="13.5" customHeight="1">
      <c r="A20" s="971" t="s">
        <v>806</v>
      </c>
      <c r="B20" s="972" t="s">
        <v>2481</v>
      </c>
      <c r="C20" s="24">
        <f ca="1">ROUND(D20*E20/10000,0)</f>
        <v>235</v>
      </c>
      <c r="D20" s="1033">
        <f ca="1">IF(C1="",'数据-汇总表'!E6,IF(INDIRECT("'数据-取费表'!c"&amp;$K$1)="住宅",INDIRECT("'数据-取费表'!s"&amp;$K$1),INDIRECT("'数据-取费表'!k"&amp;$K$1)+INDIRECT("'数据-取费表'!s"&amp;$K$1)))</f>
        <v>7359.239999999998</v>
      </c>
      <c r="E20" s="24">
        <f>'数据-取费表'!B28</f>
        <v>320</v>
      </c>
      <c r="F20" s="976"/>
      <c r="G20" s="15"/>
      <c r="H20" s="981"/>
      <c r="I20" s="981"/>
      <c r="J20" s="981"/>
      <c r="K20" s="982"/>
    </row>
    <row r="21" spans="1:33" s="975" customFormat="1" ht="13.5" customHeight="1">
      <c r="A21" s="961" t="s">
        <v>802</v>
      </c>
      <c r="B21" s="985" t="s">
        <v>2482</v>
      </c>
      <c r="C21" s="986">
        <f ca="1">C16+C17+C18</f>
        <v>4413</v>
      </c>
      <c r="D21" s="987"/>
      <c r="E21" s="325"/>
      <c r="F21" s="325"/>
      <c r="G21" s="140" t="s">
        <v>2483</v>
      </c>
      <c r="H21" s="979"/>
      <c r="I21" s="979"/>
      <c r="J21" s="979"/>
      <c r="K21" s="980"/>
    </row>
    <row r="22" spans="1:33" s="975" customFormat="1" ht="13.5" customHeight="1">
      <c r="A22" s="961" t="s">
        <v>2455</v>
      </c>
      <c r="B22" s="985" t="s">
        <v>2484</v>
      </c>
      <c r="C22" s="986">
        <f ca="1">ROUND(C21*F22,0)</f>
        <v>88</v>
      </c>
      <c r="D22" s="325"/>
      <c r="E22" s="325"/>
      <c r="F22" s="988">
        <f>'数据-取费表'!B37</f>
        <v>0.02</v>
      </c>
      <c r="G22" s="8" t="s">
        <v>2485</v>
      </c>
      <c r="H22" s="968"/>
      <c r="I22" s="968"/>
      <c r="J22" s="968"/>
      <c r="K22" s="969"/>
    </row>
    <row r="23" spans="1:33" s="975" customFormat="1" ht="13.5" customHeight="1">
      <c r="A23" s="961" t="s">
        <v>2457</v>
      </c>
      <c r="B23" s="985" t="s">
        <v>2486</v>
      </c>
      <c r="C23" s="986">
        <f ca="1">ROUND(C4*F23*F11,0)</f>
        <v>737</v>
      </c>
      <c r="D23" s="325"/>
      <c r="E23" s="325"/>
      <c r="F23" s="988">
        <f>'数据-取费表'!B38</f>
        <v>0.02</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IF(项目基本情况!B8="出让",0,'数据-取费表'!B48+'数据-取费表'!B49)</f>
        <v>3.0499999999999999E-2</v>
      </c>
      <c r="G24" s="8" t="s">
        <v>2490</v>
      </c>
      <c r="H24" s="990"/>
      <c r="I24" s="990"/>
      <c r="J24" s="990"/>
      <c r="K24" s="991"/>
    </row>
    <row r="25" spans="1:33" s="975" customFormat="1" ht="13.5" customHeight="1">
      <c r="A25" s="961" t="s">
        <v>2491</v>
      </c>
      <c r="B25" s="987" t="s">
        <v>2492</v>
      </c>
      <c r="C25" s="1356">
        <f ca="1">C27</f>
        <v>123</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4.8899999999999999E-2</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123</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2495</v>
      </c>
      <c r="B28" s="2555" t="s">
        <v>2496</v>
      </c>
      <c r="C28" s="331">
        <f ca="1">C30</f>
        <v>786</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2497</v>
      </c>
      <c r="C29" s="328">
        <f ca="1">ROUND((1+C24)*F28*'数据-取费表'!B24/'数据-取费表'!B20,4)</f>
        <v>7.7200000000000005E-2</v>
      </c>
      <c r="D29" s="328"/>
      <c r="E29" s="329"/>
      <c r="F29" s="334"/>
      <c r="G29" s="140" t="s">
        <v>2498</v>
      </c>
      <c r="H29" s="979"/>
      <c r="I29" s="979"/>
      <c r="J29" s="979"/>
      <c r="K29" s="980"/>
    </row>
    <row r="30" spans="1:33" s="335" customFormat="1" ht="13.5" customHeight="1">
      <c r="A30" s="971" t="s">
        <v>804</v>
      </c>
      <c r="B30" s="994" t="s">
        <v>2499</v>
      </c>
      <c r="C30" s="336">
        <f ca="1">ROUND((C21+C22+C23)*F28,0)</f>
        <v>786</v>
      </c>
      <c r="D30" s="328"/>
      <c r="E30" s="329"/>
      <c r="F30" s="334"/>
      <c r="G30" s="140"/>
      <c r="H30" s="979"/>
      <c r="I30" s="979"/>
      <c r="J30" s="979"/>
      <c r="K30" s="980"/>
    </row>
    <row r="31" spans="1:33" s="975" customFormat="1" ht="13.5" customHeight="1" thickBot="1">
      <c r="A31" s="2556" t="s">
        <v>2500</v>
      </c>
      <c r="B31" s="1005" t="s">
        <v>2501</v>
      </c>
      <c r="C31" s="1006">
        <f ca="1">ROUND(C4*F31/(1+'数据-取费表'!C42),0)</f>
        <v>4955</v>
      </c>
      <c r="D31" s="1007"/>
      <c r="E31" s="1008"/>
      <c r="F31" s="1009">
        <f>'数据-取费表'!B41</f>
        <v>5.6500000000000002E-2</v>
      </c>
      <c r="G31" s="1010" t="s">
        <v>2502</v>
      </c>
      <c r="H31" s="1011"/>
      <c r="I31" s="1011"/>
      <c r="J31" s="1011"/>
      <c r="K31" s="1012"/>
    </row>
    <row r="32" spans="1:33" s="970" customFormat="1" ht="13.5" customHeight="1" thickBot="1">
      <c r="A32" s="1000" t="s">
        <v>2503</v>
      </c>
      <c r="B32" s="1001"/>
      <c r="C32" s="1002">
        <f ca="1">ROUND((C4-C21-C22-C23-C25-C28-C31)/(1+C24+D25+D28),0)</f>
        <v>70104</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中信信托：</v>
      </c>
    </row>
    <row r="4" spans="1:1" ht="36">
      <c r="A4" s="1946" t="str">
        <f>"受贵公司委托，我公司对"&amp;项目基本情况!S1&amp;"进行了预评估。"</f>
        <v>受贵公司委托，我公司对东丽区融创融园B1出让国有建设用地使用权及在建建筑物房地产抵押价值进行了预评估。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估价对象为东丽区融创融园B1出让国有建设用地使用权及在建建筑物房地产，为所有。根据，估价对象（分摊）出让国有建设用地使用权面积为13491.73平方米，建筑面积为38206.34平方米。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东丽区融创融园B1出让国有建设用地使用权及在建建筑物房地产,属开发建设的居住项目，该项目尚在开发建设中。根据，估价对象（分摊）出让国有建设用地使用权面积为13491.73平方米，规划建筑面积为38206.34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东丽区融创融园B1出让国有建设用地使用权及在建建筑物房地产作为抵押担保物，向中信信托办理贷款手续。中信信托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2019年10月17日（评估专业人员实地查勘之日）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-1</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375" t="s">
        <v>1398</v>
      </c>
      <c r="C6" s="1296">
        <f ca="1">ROUND(F6*F8*F7*(1-F9),0)</f>
        <v>0</v>
      </c>
      <c r="D6" s="164" t="s">
        <v>3011</v>
      </c>
      <c r="E6" s="347" t="s">
        <v>1400</v>
      </c>
      <c r="F6" s="348">
        <f ca="1">INDIRECT("'数据-取费表'!u"&amp;$G$1)</f>
        <v>0</v>
      </c>
      <c r="G6" s="1850"/>
      <c r="H6" s="1291" t="s">
        <v>1032</v>
      </c>
      <c r="I6" s="3375" t="s">
        <v>1398</v>
      </c>
      <c r="J6" s="346">
        <f ca="1">ROUND(M6*M8*M7*(1-M9),0)</f>
        <v>0</v>
      </c>
      <c r="K6" s="1833" t="s">
        <v>3012</v>
      </c>
      <c r="L6" s="347" t="s">
        <v>1400</v>
      </c>
      <c r="M6" s="348">
        <f ca="1">INDIRECT("'数据-取费表'!z"&amp;$G$1)</f>
        <v>0</v>
      </c>
    </row>
    <row r="7" spans="1:37" ht="18" customHeight="1">
      <c r="A7" s="1295"/>
      <c r="B7" s="3376"/>
      <c r="C7" s="1297"/>
      <c r="D7" s="352"/>
      <c r="E7" s="1298" t="s">
        <v>1401</v>
      </c>
      <c r="F7" s="348">
        <f ca="1">IF(INDIRECT("'数据-取费表'!ah"&amp;$G$1)="",INDIRECT("'数据-取费表'!k"&amp;$G$1),INDIRECT("'数据-取费表'!ah"&amp;$G$1))</f>
        <v>0</v>
      </c>
      <c r="G7" s="1850"/>
      <c r="H7" s="349"/>
      <c r="I7" s="3376"/>
      <c r="J7" s="351"/>
      <c r="K7" s="352"/>
      <c r="L7" s="347" t="s">
        <v>1401</v>
      </c>
      <c r="M7" s="348">
        <f ca="1">F7</f>
        <v>0</v>
      </c>
    </row>
    <row r="8" spans="1:37" ht="18" customHeight="1">
      <c r="A8" s="349"/>
      <c r="B8" s="3376"/>
      <c r="C8" s="351"/>
      <c r="D8" s="352"/>
      <c r="E8" s="347" t="s">
        <v>1402</v>
      </c>
      <c r="F8" s="348">
        <f ca="1">INDIRECT("'数据-取费表'!ai"&amp;$G$1)</f>
        <v>0</v>
      </c>
      <c r="G8" s="1850"/>
      <c r="H8" s="349"/>
      <c r="I8" s="3376"/>
      <c r="J8" s="351"/>
      <c r="K8" s="352"/>
      <c r="L8" s="347" t="s">
        <v>1402</v>
      </c>
      <c r="M8" s="348">
        <f ca="1">INDIRECT("'数据-取费表'!ai"&amp;$G$1)</f>
        <v>0</v>
      </c>
    </row>
    <row r="9" spans="1:37" ht="18" customHeight="1">
      <c r="A9" s="349"/>
      <c r="B9" s="3377"/>
      <c r="C9" s="351"/>
      <c r="D9" s="352"/>
      <c r="E9" s="347" t="s">
        <v>1403</v>
      </c>
      <c r="F9" s="357">
        <f ca="1">INDIRECT("'数据-取费表'!w"&amp;$G$1)</f>
        <v>0</v>
      </c>
      <c r="G9" s="1850"/>
      <c r="H9" s="349"/>
      <c r="I9" s="3377"/>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3022</v>
      </c>
      <c r="E10" s="358" t="s">
        <v>1405</v>
      </c>
      <c r="F10" s="1366"/>
      <c r="G10" s="1850"/>
      <c r="H10" s="1291" t="s">
        <v>1036</v>
      </c>
      <c r="I10" s="1822" t="s">
        <v>1404</v>
      </c>
      <c r="J10" s="346">
        <f ca="1">ROUND(IF(M10="押一",J6/12*M11,IF(M10="押二",J6/12*2*M11,IF(M10="押三",J6/12*3*M11,J11*M11))),0)</f>
        <v>0</v>
      </c>
      <c r="K10" s="1834" t="s">
        <v>3024</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5.6500000000000002E-2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5.3800000000000001E-2</v>
      </c>
      <c r="D28" s="369" t="s">
        <v>1471</v>
      </c>
      <c r="E28" s="347" t="s">
        <v>1417</v>
      </c>
      <c r="F28" s="367">
        <f>'数据-取费表'!B41</f>
        <v>5.6500000000000002E-2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5.6500000000000002E-2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10</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-1</v>
      </c>
      <c r="R52" s="1885" t="s">
        <v>1541</v>
      </c>
    </row>
    <row r="53" spans="1:18" s="1841" customFormat="1" ht="30.75" customHeight="1" thickBot="1">
      <c r="A53" s="1361" t="s">
        <v>1134</v>
      </c>
      <c r="B53" s="369" t="s">
        <v>1404</v>
      </c>
      <c r="C53" s="361">
        <f ca="1">ROUND(IF(F53="押一",C49/12*F11,IF(F53="押二",C49/12*2*F11,IF(F53="押三",C49/12*3*F11,C54*F11))),0)</f>
        <v>0</v>
      </c>
      <c r="D53" s="1823" t="s">
        <v>3025</v>
      </c>
      <c r="E53" s="358" t="s">
        <v>1405</v>
      </c>
      <c r="F53" s="1366"/>
      <c r="I53" s="1904" t="s">
        <v>1542</v>
      </c>
      <c r="J53" s="2945">
        <f ca="1">IF(M47="住宅",IF(D1="——",MAX(J51,L48),MAX(J51,L48-'数据-取费表'!B24)),IF(D1="——",MIN(J51,L48),MIN(J51,L48-'数据-取费表'!B24)))</f>
        <v>-1</v>
      </c>
      <c r="K53" s="3378" t="s">
        <v>1543</v>
      </c>
      <c r="L53" s="3379"/>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5.6500000000000002E-2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10</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2512</v>
      </c>
      <c r="B1" s="2558"/>
      <c r="C1" s="2558"/>
      <c r="D1" s="2558"/>
      <c r="E1" s="2559"/>
    </row>
    <row r="2" spans="1:6" ht="15.75">
      <c r="A2" s="2560" t="s">
        <v>2316</v>
      </c>
      <c r="B2" s="2561">
        <f ca="1">SUMIF(B6:B13,"&lt;&gt;#ref!",B6:B13)</f>
        <v>11788</v>
      </c>
      <c r="C2" s="2562" t="s">
        <v>2505</v>
      </c>
      <c r="D2" s="2563" t="s">
        <v>2506</v>
      </c>
      <c r="E2" s="2564">
        <f>SUM(E6:E13)</f>
        <v>7359.24</v>
      </c>
    </row>
    <row r="3" spans="1:6" ht="15.75">
      <c r="A3" s="2560" t="s">
        <v>1390</v>
      </c>
      <c r="B3" s="2561">
        <f ca="1">ROUND(B2*10000/E2,0)</f>
        <v>16018</v>
      </c>
      <c r="C3" s="2562" t="s">
        <v>2513</v>
      </c>
      <c r="D3" s="2565"/>
      <c r="E3" s="2566"/>
    </row>
    <row r="4" spans="1:6" ht="15.75">
      <c r="A4" s="2567"/>
      <c r="B4" s="2565"/>
      <c r="C4" s="2565"/>
      <c r="D4" s="2565"/>
      <c r="E4" s="2566"/>
    </row>
    <row r="5" spans="1:6" ht="15">
      <c r="A5" s="2568" t="s">
        <v>2507</v>
      </c>
      <c r="B5" s="3380" t="s">
        <v>2508</v>
      </c>
      <c r="C5" s="3380"/>
      <c r="D5" s="2569"/>
      <c r="E5" s="2570" t="s">
        <v>2509</v>
      </c>
      <c r="F5" s="2571" t="s">
        <v>2510</v>
      </c>
    </row>
    <row r="6" spans="1:6">
      <c r="A6" s="2572">
        <f>'数据-取费表'!AN6</f>
        <v>0</v>
      </c>
      <c r="B6" s="2571" t="e">
        <f ca="1">IF(F6="是",'数据-取费表'!AO6,0)</f>
        <v>#REF!</v>
      </c>
      <c r="C6" s="2562" t="s">
        <v>2505</v>
      </c>
      <c r="D6" s="2565"/>
      <c r="E6" s="2573">
        <f>IF(OR(A6=0,F6="否"),0,'数据-取费表'!K6+'数据-取费表'!S6)</f>
        <v>0</v>
      </c>
      <c r="F6" s="2574" t="s">
        <v>2511</v>
      </c>
    </row>
    <row r="7" spans="1:6">
      <c r="A7" s="2572">
        <f>'数据-取费表'!AN7</f>
        <v>0</v>
      </c>
      <c r="B7" s="2571" t="e">
        <f ca="1">IF(F7="是",'数据-取费表'!AO7,0)</f>
        <v>#REF!</v>
      </c>
      <c r="C7" s="2562" t="s">
        <v>2505</v>
      </c>
      <c r="D7" s="2565"/>
      <c r="E7" s="2573">
        <f>IF(OR(A7=0,F7="否"),0,'数据-取费表'!K7+'数据-取费表'!S7)</f>
        <v>0</v>
      </c>
      <c r="F7" s="2574" t="s">
        <v>2511</v>
      </c>
    </row>
    <row r="8" spans="1:6">
      <c r="A8" s="2572" t="str">
        <f>'数据-取费表'!AN8</f>
        <v>收益法</v>
      </c>
      <c r="B8" s="2571">
        <f ca="1">IF(F8="是",'数据-取费表'!AO8,0)</f>
        <v>11788</v>
      </c>
      <c r="C8" s="2562" t="s">
        <v>2505</v>
      </c>
      <c r="D8" s="2565"/>
      <c r="E8" s="2573">
        <f>IF(OR(A8=0,F8="否"),0,'数据-取费表'!K8+'数据-取费表'!S8)</f>
        <v>7359.24</v>
      </c>
      <c r="F8" s="2574" t="s">
        <v>2511</v>
      </c>
    </row>
    <row r="9" spans="1:6">
      <c r="A9" s="2572">
        <f>'数据-取费表'!AN9</f>
        <v>0</v>
      </c>
      <c r="B9" s="2571" t="e">
        <f ca="1">IF(F9="是",'数据-取费表'!AO9,0)</f>
        <v>#REF!</v>
      </c>
      <c r="C9" s="2562" t="s">
        <v>2505</v>
      </c>
      <c r="D9" s="2565"/>
      <c r="E9" s="2573">
        <f>IF(OR(A9=0,F9="否"),0,'数据-取费表'!K9+'数据-取费表'!S9)</f>
        <v>0</v>
      </c>
      <c r="F9" s="2574" t="s">
        <v>2511</v>
      </c>
    </row>
    <row r="10" spans="1:6">
      <c r="A10" s="2572">
        <f>'数据-取费表'!AN10</f>
        <v>0</v>
      </c>
      <c r="B10" s="2571" t="e">
        <f ca="1">IF(F10="是",'数据-取费表'!AO10,0)</f>
        <v>#REF!</v>
      </c>
      <c r="C10" s="2562" t="s">
        <v>2505</v>
      </c>
      <c r="D10" s="2565"/>
      <c r="E10" s="2573">
        <f>IF(OR(A10=0,F10="否"),0,'数据-取费表'!K10+'数据-取费表'!S10)</f>
        <v>0</v>
      </c>
      <c r="F10" s="2574" t="s">
        <v>2511</v>
      </c>
    </row>
    <row r="11" spans="1:6">
      <c r="A11" s="2572">
        <f>'数据-取费表'!AN11</f>
        <v>0</v>
      </c>
      <c r="B11" s="2571" t="e">
        <f ca="1">IF(F11="是",'数据-取费表'!AO11,0)</f>
        <v>#REF!</v>
      </c>
      <c r="C11" s="2562" t="s">
        <v>2505</v>
      </c>
      <c r="D11" s="2565"/>
      <c r="E11" s="2573">
        <f>IF(OR(A11=0,F11="否"),0,'数据-取费表'!K11+'数据-取费表'!S11)</f>
        <v>0</v>
      </c>
      <c r="F11" s="2574" t="s">
        <v>2511</v>
      </c>
    </row>
    <row r="12" spans="1:6">
      <c r="A12" s="2572">
        <f>'数据-取费表'!AN12</f>
        <v>0</v>
      </c>
      <c r="B12" s="2571" t="e">
        <f ca="1">IF(F12="是",'数据-取费表'!AO12,0)</f>
        <v>#REF!</v>
      </c>
      <c r="C12" s="2562" t="s">
        <v>2505</v>
      </c>
      <c r="D12" s="2565"/>
      <c r="E12" s="2573">
        <f>IF(OR(A12=0,F12="否"),0,'数据-取费表'!K12+'数据-取费表'!S12)</f>
        <v>0</v>
      </c>
      <c r="F12" s="2574" t="s">
        <v>2511</v>
      </c>
    </row>
    <row r="13" spans="1:6" ht="15" thickBot="1">
      <c r="A13" s="2575">
        <f>'数据-取费表'!AN13</f>
        <v>0</v>
      </c>
      <c r="B13" s="2571" t="e">
        <f ca="1">IF(F13="是",'数据-取费表'!AO13,0)</f>
        <v>#REF!</v>
      </c>
      <c r="C13" s="2576" t="s">
        <v>2505</v>
      </c>
      <c r="D13" s="2577"/>
      <c r="E13" s="2573">
        <f>IF(OR(A13=0,F13="否"),0,'数据-取费表'!K13+'数据-取费表'!S13)</f>
        <v>0</v>
      </c>
      <c r="F13" s="2574"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81" t="s">
        <v>1073</v>
      </c>
      <c r="B1" s="3382"/>
      <c r="C1" s="3383"/>
      <c r="D1" s="3384">
        <f>SUM(I10,I15,I20,I21,I23)</f>
        <v>0</v>
      </c>
      <c r="E1" s="3384"/>
      <c r="F1" s="3384"/>
      <c r="G1" s="3384"/>
      <c r="H1" s="3384"/>
      <c r="I1" s="3385"/>
    </row>
    <row r="2" spans="1:9">
      <c r="A2" s="3386" t="s">
        <v>1074</v>
      </c>
      <c r="B2" s="3387" t="s">
        <v>1075</v>
      </c>
      <c r="C2" s="3387"/>
      <c r="D2" s="1301" t="s">
        <v>1076</v>
      </c>
      <c r="E2" s="1301" t="s">
        <v>1077</v>
      </c>
      <c r="F2" s="1301" t="s">
        <v>1078</v>
      </c>
      <c r="G2" s="1301" t="s">
        <v>1079</v>
      </c>
      <c r="H2" s="1301" t="s">
        <v>1080</v>
      </c>
      <c r="I2" s="1302" t="s">
        <v>1081</v>
      </c>
    </row>
    <row r="3" spans="1:9">
      <c r="A3" s="3386"/>
      <c r="B3" s="3387" t="s">
        <v>1082</v>
      </c>
      <c r="C3" s="3387"/>
      <c r="D3" s="1303"/>
      <c r="E3" s="1301"/>
      <c r="F3" s="1304"/>
      <c r="G3" s="1304"/>
      <c r="H3" s="1305"/>
      <c r="I3" s="1306">
        <f>ROUND(D3*E3*F3*G3*H3/10000,0)</f>
        <v>0</v>
      </c>
    </row>
    <row r="4" spans="1:9">
      <c r="A4" s="3386"/>
      <c r="B4" s="3387" t="s">
        <v>1083</v>
      </c>
      <c r="C4" s="3387"/>
      <c r="D4" s="1303"/>
      <c r="E4" s="1301"/>
      <c r="F4" s="1304"/>
      <c r="G4" s="1304"/>
      <c r="H4" s="1305"/>
      <c r="I4" s="1306">
        <f t="shared" ref="I4:I9" si="0">ROUND(D4*E4*F4*G4*H4/10000,0)</f>
        <v>0</v>
      </c>
    </row>
    <row r="5" spans="1:9">
      <c r="A5" s="3386"/>
      <c r="B5" s="3387" t="s">
        <v>1084</v>
      </c>
      <c r="C5" s="3387"/>
      <c r="D5" s="1303"/>
      <c r="E5" s="1301"/>
      <c r="F5" s="1304"/>
      <c r="G5" s="1304"/>
      <c r="H5" s="1305"/>
      <c r="I5" s="1306">
        <f t="shared" si="0"/>
        <v>0</v>
      </c>
    </row>
    <row r="6" spans="1:9">
      <c r="A6" s="3386"/>
      <c r="B6" s="3387" t="s">
        <v>1085</v>
      </c>
      <c r="C6" s="3387"/>
      <c r="D6" s="1303"/>
      <c r="E6" s="1301"/>
      <c r="F6" s="1304"/>
      <c r="G6" s="1304"/>
      <c r="H6" s="1305"/>
      <c r="I6" s="1306">
        <f t="shared" si="0"/>
        <v>0</v>
      </c>
    </row>
    <row r="7" spans="1:9">
      <c r="A7" s="3386"/>
      <c r="B7" s="3387" t="s">
        <v>1086</v>
      </c>
      <c r="C7" s="3387"/>
      <c r="D7" s="1303"/>
      <c r="E7" s="1301"/>
      <c r="F7" s="1304"/>
      <c r="G7" s="1304"/>
      <c r="H7" s="1305"/>
      <c r="I7" s="1306">
        <f t="shared" si="0"/>
        <v>0</v>
      </c>
    </row>
    <row r="8" spans="1:9">
      <c r="A8" s="3386"/>
      <c r="B8" s="3387" t="s">
        <v>1087</v>
      </c>
      <c r="C8" s="3387"/>
      <c r="D8" s="1303"/>
      <c r="E8" s="1301"/>
      <c r="F8" s="1304"/>
      <c r="G8" s="1304"/>
      <c r="H8" s="1305"/>
      <c r="I8" s="1306">
        <f t="shared" si="0"/>
        <v>0</v>
      </c>
    </row>
    <row r="9" spans="1:9">
      <c r="A9" s="3386"/>
      <c r="B9" s="3387" t="s">
        <v>1088</v>
      </c>
      <c r="C9" s="3387"/>
      <c r="D9" s="1303"/>
      <c r="E9" s="1301"/>
      <c r="F9" s="1304"/>
      <c r="G9" s="1304"/>
      <c r="H9" s="1305"/>
      <c r="I9" s="1306">
        <f t="shared" si="0"/>
        <v>0</v>
      </c>
    </row>
    <row r="10" spans="1:9">
      <c r="A10" s="3386"/>
      <c r="B10" s="3388" t="s">
        <v>1089</v>
      </c>
      <c r="C10" s="3388"/>
      <c r="D10" s="1307"/>
      <c r="E10" s="1307" t="e">
        <f>ROUND(D1*10000/D10/H9,0)</f>
        <v>#DIV/0!</v>
      </c>
      <c r="F10" s="1308"/>
      <c r="G10" s="1308"/>
      <c r="H10" s="1309"/>
      <c r="I10" s="1310">
        <f>SUM(I3:I9)</f>
        <v>0</v>
      </c>
    </row>
    <row r="11" spans="1:9" ht="14.25">
      <c r="A11" s="3386" t="s">
        <v>1090</v>
      </c>
      <c r="B11" s="3387" t="s">
        <v>1091</v>
      </c>
      <c r="C11" s="3387"/>
      <c r="D11" s="1303" t="s">
        <v>1092</v>
      </c>
      <c r="E11" s="1303" t="s">
        <v>1093</v>
      </c>
      <c r="F11" s="1304" t="s">
        <v>1094</v>
      </c>
      <c r="G11" s="1304" t="s">
        <v>1080</v>
      </c>
      <c r="H11" s="1311" t="s">
        <v>1095</v>
      </c>
      <c r="I11" s="1302" t="s">
        <v>1081</v>
      </c>
    </row>
    <row r="12" spans="1:9">
      <c r="A12" s="3386"/>
      <c r="B12" s="3387" t="s">
        <v>1096</v>
      </c>
      <c r="C12" s="3387"/>
      <c r="D12" s="1303"/>
      <c r="E12" s="1303"/>
      <c r="F12" s="1304"/>
      <c r="G12" s="1305"/>
      <c r="H12" s="1312"/>
      <c r="I12" s="1302">
        <f>ROUND(D12*E12*F12*G12/10000,0)</f>
        <v>0</v>
      </c>
    </row>
    <row r="13" spans="1:9">
      <c r="A13" s="3386"/>
      <c r="B13" s="3387" t="s">
        <v>1097</v>
      </c>
      <c r="C13" s="3387"/>
      <c r="D13" s="1303"/>
      <c r="E13" s="1303"/>
      <c r="F13" s="1304"/>
      <c r="G13" s="1305"/>
      <c r="H13" s="1312"/>
      <c r="I13" s="1302">
        <f>ROUND(D13*E13*F13*G13/10000,0)</f>
        <v>0</v>
      </c>
    </row>
    <row r="14" spans="1:9">
      <c r="A14" s="3386"/>
      <c r="B14" s="3387" t="s">
        <v>1098</v>
      </c>
      <c r="C14" s="3387"/>
      <c r="D14" s="1303"/>
      <c r="E14" s="1303"/>
      <c r="F14" s="1304"/>
      <c r="G14" s="1305"/>
      <c r="H14" s="1312"/>
      <c r="I14" s="1302">
        <f>ROUND(D14*E14*F14*G14/10000,0)</f>
        <v>0</v>
      </c>
    </row>
    <row r="15" spans="1:9">
      <c r="A15" s="3386"/>
      <c r="B15" s="3388" t="s">
        <v>1089</v>
      </c>
      <c r="C15" s="3388"/>
      <c r="D15" s="1307"/>
      <c r="E15" s="1307">
        <f>SUM(E12:E14)</f>
        <v>0</v>
      </c>
      <c r="F15" s="1308"/>
      <c r="G15" s="1305"/>
      <c r="H15" s="1312"/>
      <c r="I15" s="1313">
        <f>SUM(I12:I14)</f>
        <v>0</v>
      </c>
    </row>
    <row r="16" spans="1:9" ht="24">
      <c r="A16" s="3386" t="s">
        <v>1099</v>
      </c>
      <c r="B16" s="3387" t="s">
        <v>1100</v>
      </c>
      <c r="C16" s="3387"/>
      <c r="D16" s="1303" t="s">
        <v>1076</v>
      </c>
      <c r="E16" s="1314" t="s">
        <v>1101</v>
      </c>
      <c r="F16" s="1304" t="s">
        <v>1102</v>
      </c>
      <c r="G16" s="1305" t="s">
        <v>1080</v>
      </c>
      <c r="H16" s="1311" t="s">
        <v>1095</v>
      </c>
      <c r="I16" s="1302" t="s">
        <v>1081</v>
      </c>
    </row>
    <row r="17" spans="1:9" ht="14.25">
      <c r="A17" s="3386"/>
      <c r="B17" s="3387" t="s">
        <v>1103</v>
      </c>
      <c r="C17" s="3387"/>
      <c r="D17" s="1303"/>
      <c r="E17" s="1303"/>
      <c r="F17" s="1304"/>
      <c r="G17" s="1305"/>
      <c r="H17" s="1315"/>
      <c r="I17" s="1316">
        <f>ROUND(D17*E17*F17*G17/10000,0)</f>
        <v>0</v>
      </c>
    </row>
    <row r="18" spans="1:9" ht="14.25">
      <c r="A18" s="3386"/>
      <c r="B18" s="3387" t="s">
        <v>1104</v>
      </c>
      <c r="C18" s="3387"/>
      <c r="D18" s="1303"/>
      <c r="E18" s="1303"/>
      <c r="F18" s="1304"/>
      <c r="G18" s="1305"/>
      <c r="H18" s="1315"/>
      <c r="I18" s="1316">
        <f>ROUND(D18*E18*F18*G18/10000,0)</f>
        <v>0</v>
      </c>
    </row>
    <row r="19" spans="1:9" ht="14.25">
      <c r="A19" s="3386"/>
      <c r="B19" s="3387" t="s">
        <v>1105</v>
      </c>
      <c r="C19" s="3387"/>
      <c r="D19" s="1303"/>
      <c r="E19" s="1303"/>
      <c r="F19" s="1304"/>
      <c r="G19" s="1305"/>
      <c r="H19" s="1315"/>
      <c r="I19" s="1316">
        <f>ROUND(D19*E19*F19*G19/10000,0)</f>
        <v>0</v>
      </c>
    </row>
    <row r="20" spans="1:9">
      <c r="A20" s="3386"/>
      <c r="B20" s="3388" t="s">
        <v>1089</v>
      </c>
      <c r="C20" s="3388"/>
      <c r="D20" s="1307">
        <f>SUM(D17:D19)</f>
        <v>0</v>
      </c>
      <c r="E20" s="1307"/>
      <c r="F20" s="1308"/>
      <c r="G20" s="1305"/>
      <c r="H20" s="1312"/>
      <c r="I20" s="1313">
        <f>SUM(I17:I19)</f>
        <v>0</v>
      </c>
    </row>
    <row r="21" spans="1:9">
      <c r="A21" s="3386" t="s">
        <v>1106</v>
      </c>
      <c r="B21" s="3390"/>
      <c r="C21" s="3390"/>
      <c r="D21" s="3390"/>
      <c r="E21" s="3390"/>
      <c r="F21" s="3390"/>
      <c r="G21" s="3390"/>
      <c r="H21" s="1764">
        <v>0.1</v>
      </c>
      <c r="I21" s="1310">
        <f>ROUND(I10*H21,0)</f>
        <v>0</v>
      </c>
    </row>
    <row r="22" spans="1:9" ht="14.25">
      <c r="A22" s="3391" t="s">
        <v>1107</v>
      </c>
      <c r="B22" s="3392"/>
      <c r="C22" s="3393"/>
      <c r="D22" s="1317" t="s">
        <v>1108</v>
      </c>
      <c r="E22" s="1317" t="s">
        <v>1109</v>
      </c>
      <c r="F22" s="1318" t="s">
        <v>1110</v>
      </c>
      <c r="G22" s="1318" t="s">
        <v>1111</v>
      </c>
      <c r="H22" s="1311" t="s">
        <v>1112</v>
      </c>
      <c r="I22" s="1302" t="s">
        <v>1113</v>
      </c>
    </row>
    <row r="23" spans="1:9" ht="14.25" thickBot="1">
      <c r="A23" s="3394"/>
      <c r="B23" s="3395"/>
      <c r="C23" s="3396"/>
      <c r="D23" s="1319"/>
      <c r="E23" s="1319"/>
      <c r="F23" s="1319"/>
      <c r="G23" s="1320"/>
      <c r="H23" s="1321"/>
      <c r="I23" s="1322">
        <f>ROUND(E23*D23*F23*(1-G23)/10000,0)</f>
        <v>0</v>
      </c>
    </row>
    <row r="26" spans="1:9">
      <c r="A26" s="1323" t="s">
        <v>1114</v>
      </c>
      <c r="B26" s="1323"/>
      <c r="C26" s="1323"/>
      <c r="D26" s="1323"/>
      <c r="E26" s="3397">
        <f>C27-C30-C31-C32</f>
        <v>0</v>
      </c>
      <c r="F26" s="3397"/>
      <c r="G26" s="3397"/>
      <c r="H26" s="1736" t="s">
        <v>1336</v>
      </c>
    </row>
    <row r="27" spans="1:9">
      <c r="A27" s="1324">
        <v>1</v>
      </c>
      <c r="B27" s="1325" t="s">
        <v>1115</v>
      </c>
      <c r="C27" s="1325">
        <f>C28+C29</f>
        <v>0</v>
      </c>
      <c r="D27" s="1325"/>
      <c r="E27" s="3398"/>
      <c r="F27" s="3398"/>
      <c r="G27" s="3398"/>
    </row>
    <row r="28" spans="1:9">
      <c r="A28" s="1326" t="s">
        <v>1116</v>
      </c>
      <c r="B28" s="1325" t="s">
        <v>1117</v>
      </c>
      <c r="C28" s="1325"/>
      <c r="D28" s="1325"/>
      <c r="E28" s="3398"/>
      <c r="F28" s="3398"/>
      <c r="G28" s="339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89"/>
      <c r="F32" s="3389"/>
      <c r="G32" s="3389"/>
    </row>
    <row r="33" spans="1:7" hidden="1">
      <c r="A33" s="3399" t="s">
        <v>1126</v>
      </c>
      <c r="B33" s="3400"/>
      <c r="C33" s="3400"/>
      <c r="D33" s="3401"/>
      <c r="E33" s="3397"/>
      <c r="F33" s="3397"/>
      <c r="G33" s="3397"/>
    </row>
    <row r="34" spans="1:7" hidden="1">
      <c r="A34" s="1328">
        <v>1</v>
      </c>
      <c r="B34" s="1325" t="s">
        <v>1127</v>
      </c>
      <c r="C34" s="1325"/>
      <c r="D34" s="1325"/>
      <c r="E34" s="3398"/>
      <c r="F34" s="3398"/>
      <c r="G34" s="3398"/>
    </row>
    <row r="35" spans="1:7" hidden="1">
      <c r="A35" s="1328">
        <v>2</v>
      </c>
      <c r="B35" s="1325" t="s">
        <v>1128</v>
      </c>
      <c r="C35" s="1325"/>
      <c r="D35" s="1325"/>
      <c r="E35" s="3398"/>
      <c r="F35" s="3398"/>
      <c r="G35" s="3398"/>
    </row>
    <row r="36" spans="1:7" hidden="1">
      <c r="A36" s="1328">
        <v>3</v>
      </c>
      <c r="B36" s="1325" t="s">
        <v>1129</v>
      </c>
      <c r="C36" s="1325"/>
      <c r="D36" s="1325"/>
      <c r="E36" s="3398"/>
      <c r="F36" s="3398"/>
      <c r="G36" s="3398"/>
    </row>
    <row r="37" spans="1:7" hidden="1">
      <c r="A37" s="1328">
        <v>4</v>
      </c>
      <c r="B37" s="1325" t="s">
        <v>1130</v>
      </c>
      <c r="C37" s="1325"/>
      <c r="D37" s="1325"/>
      <c r="E37" s="3398"/>
      <c r="F37" s="3398"/>
      <c r="G37" s="3398"/>
    </row>
    <row r="38" spans="1:7" hidden="1">
      <c r="A38" s="3399" t="s">
        <v>1131</v>
      </c>
      <c r="B38" s="3400"/>
      <c r="C38" s="3400"/>
      <c r="D38" s="3401"/>
      <c r="E38" s="3397"/>
      <c r="F38" s="3397"/>
      <c r="G38" s="33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H105" sqref="H10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2515</v>
      </c>
      <c r="C1" s="1633" t="s">
        <v>2516</v>
      </c>
      <c r="D1" s="1620" t="s">
        <v>3760</v>
      </c>
      <c r="E1" s="2579"/>
      <c r="F1" s="2580" t="s">
        <v>2517</v>
      </c>
      <c r="G1" s="1630" t="s">
        <v>2518</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1389</v>
      </c>
      <c r="B2" s="1418">
        <f>IF(C2="——",ROUND(C49*D3/10000,0),ROUND(C49*D3/10000,0)-D2)</f>
        <v>22361</v>
      </c>
      <c r="C2" s="2582" t="s">
        <v>70</v>
      </c>
      <c r="D2" s="1365" t="e">
        <f ca="1">SUMIF(INDIRECT("'"&amp;F2&amp;"'"&amp;"!A:A"),"承租人权益价值",INDIRECT("'"&amp;F2&amp;"'"&amp;"!c:c"))</f>
        <v>#REF!</v>
      </c>
      <c r="E2" s="2583" t="s">
        <v>2519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f>IF(C2="——",C49,ROUND(B2*10000/D3,0))</f>
        <v>23987</v>
      </c>
      <c r="C3" s="400" t="s">
        <v>2520</v>
      </c>
      <c r="D3" s="399">
        <f>IF(D1="",'数据-汇总表'!E3,SUMIF('数据-汇总表'!$C19:$C33,D1,'数据-汇总表'!$E19:$E33))</f>
        <v>9322.2999999999993</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2521</v>
      </c>
      <c r="B4" s="402"/>
      <c r="C4" s="3346" t="s">
        <v>2522</v>
      </c>
      <c r="D4" s="3347"/>
      <c r="E4" s="3348" t="s">
        <v>2523</v>
      </c>
      <c r="F4" s="3349"/>
      <c r="G4" s="3346" t="s">
        <v>2524</v>
      </c>
      <c r="H4" s="3347"/>
      <c r="I4" s="3346" t="s">
        <v>2525</v>
      </c>
      <c r="J4" s="3347"/>
      <c r="K4" s="2592" t="s">
        <v>2526</v>
      </c>
      <c r="L4" s="1130"/>
      <c r="M4" s="1131"/>
      <c r="N4" s="1131"/>
      <c r="O4" s="1131"/>
      <c r="P4" s="3350" t="s">
        <v>2527</v>
      </c>
      <c r="Q4" s="3351"/>
      <c r="R4" s="3333" t="s">
        <v>2523</v>
      </c>
      <c r="S4" s="3334"/>
      <c r="T4" s="3333" t="s">
        <v>2524</v>
      </c>
      <c r="U4" s="3334"/>
      <c r="V4" s="3358" t="s">
        <v>2525</v>
      </c>
      <c r="W4" s="3358"/>
      <c r="X4" s="1812"/>
      <c r="Y4" s="3333" t="s">
        <v>2527</v>
      </c>
      <c r="Z4" s="3334"/>
      <c r="AA4" s="3328" t="s">
        <v>2523</v>
      </c>
      <c r="AB4" s="3328" t="s">
        <v>2524</v>
      </c>
      <c r="AC4" s="3328" t="s">
        <v>2525</v>
      </c>
    </row>
    <row r="5" spans="1:29" ht="15">
      <c r="A5" s="404"/>
      <c r="B5" s="405"/>
      <c r="C5" s="3339" t="s">
        <v>2528</v>
      </c>
      <c r="D5" s="3340"/>
      <c r="E5" s="3402" t="s">
        <v>3823</v>
      </c>
      <c r="F5" s="3338"/>
      <c r="G5" s="3403" t="s">
        <v>3792</v>
      </c>
      <c r="H5" s="3340"/>
      <c r="I5" s="3403" t="s">
        <v>3793</v>
      </c>
      <c r="J5" s="3340"/>
      <c r="K5" s="2593"/>
      <c r="L5" s="1130"/>
      <c r="M5" s="1131"/>
      <c r="N5" s="1131"/>
      <c r="O5" s="1131"/>
      <c r="P5" s="3352"/>
      <c r="Q5" s="3353"/>
      <c r="R5" s="3335"/>
      <c r="S5" s="3336"/>
      <c r="T5" s="3335"/>
      <c r="U5" s="3336"/>
      <c r="V5" s="3358"/>
      <c r="W5" s="3358"/>
      <c r="X5" s="1812"/>
      <c r="Y5" s="3335"/>
      <c r="Z5" s="3336"/>
      <c r="AA5" s="3329"/>
      <c r="AB5" s="3329"/>
      <c r="AC5" s="3329"/>
    </row>
    <row r="6" spans="1:29" ht="15.75" thickBot="1">
      <c r="A6" s="406"/>
      <c r="B6" s="407"/>
      <c r="C6" s="3341" t="s">
        <v>2532</v>
      </c>
      <c r="D6" s="3342"/>
      <c r="E6" s="3343" t="s">
        <v>3794</v>
      </c>
      <c r="F6" s="3344"/>
      <c r="G6" s="3341" t="s">
        <v>3794</v>
      </c>
      <c r="H6" s="3342"/>
      <c r="I6" s="3341" t="s">
        <v>3794</v>
      </c>
      <c r="J6" s="3342"/>
      <c r="K6" s="2593" t="s">
        <v>2533</v>
      </c>
      <c r="L6" s="1130"/>
      <c r="M6" s="1131"/>
      <c r="N6" s="1131"/>
      <c r="O6" s="1131"/>
      <c r="P6" s="3354"/>
      <c r="Q6" s="3355"/>
      <c r="R6" s="3335"/>
      <c r="S6" s="3336"/>
      <c r="T6" s="3356"/>
      <c r="U6" s="3357"/>
      <c r="V6" s="3358"/>
      <c r="W6" s="3358"/>
      <c r="X6" s="1812"/>
      <c r="Y6" s="3356"/>
      <c r="Z6" s="3357"/>
      <c r="AA6" s="3330"/>
      <c r="AB6" s="3330"/>
      <c r="AC6" s="3330"/>
    </row>
    <row r="7" spans="1:29" s="117" customFormat="1" ht="15.75" thickBot="1">
      <c r="A7" s="408" t="s">
        <v>2534</v>
      </c>
      <c r="B7" s="409"/>
      <c r="C7" s="410">
        <f>'数据-取费表'!B2</f>
        <v>43755</v>
      </c>
      <c r="D7" s="411">
        <v>100</v>
      </c>
      <c r="E7" s="412">
        <f>C7</f>
        <v>43755</v>
      </c>
      <c r="F7" s="413">
        <f>SUMIF(58:58,YEAR(E7)&amp;"-"&amp;MONTH(E7),59:59)</f>
        <v>100</v>
      </c>
      <c r="G7" s="412">
        <f>C7</f>
        <v>43755</v>
      </c>
      <c r="H7" s="411">
        <f>SUMIF(58:58,YEAR(G7)&amp;"-"&amp;MONTH(G7),59:59)</f>
        <v>100</v>
      </c>
      <c r="I7" s="412">
        <f>C7</f>
        <v>43755</v>
      </c>
      <c r="J7" s="411">
        <f>SUMIF(58:58,YEAR(I7)&amp;"-"&amp;MONTH(I7),59:59)</f>
        <v>100</v>
      </c>
      <c r="K7" s="2594"/>
      <c r="L7" s="1132"/>
      <c r="M7" s="1133"/>
      <c r="N7" s="1133"/>
      <c r="O7" s="1133"/>
      <c r="P7" s="3331" t="s">
        <v>2535</v>
      </c>
      <c r="Q7" s="3359"/>
      <c r="R7" s="770" t="s">
        <v>23</v>
      </c>
      <c r="S7" s="771">
        <f t="shared" ref="S7:S15" si="0">F7</f>
        <v>100</v>
      </c>
      <c r="T7" s="770" t="s">
        <v>23</v>
      </c>
      <c r="U7" s="771">
        <f t="shared" ref="U7:U15" si="1">H7</f>
        <v>100</v>
      </c>
      <c r="V7" s="770" t="s">
        <v>23</v>
      </c>
      <c r="W7" s="771">
        <f t="shared" ref="W7:W15" si="2">J7</f>
        <v>100</v>
      </c>
      <c r="X7" s="772"/>
      <c r="Y7" s="3331" t="s">
        <v>2535</v>
      </c>
      <c r="Z7" s="3332"/>
      <c r="AA7" s="773">
        <f>D7/F7</f>
        <v>1</v>
      </c>
      <c r="AB7" s="773">
        <f>D7/H7</f>
        <v>1</v>
      </c>
      <c r="AC7" s="773">
        <f>D7/J7</f>
        <v>1</v>
      </c>
    </row>
    <row r="8" spans="1:29" s="117" customFormat="1" ht="15.75" thickBot="1">
      <c r="A8" s="408" t="s">
        <v>2536</v>
      </c>
      <c r="B8" s="409"/>
      <c r="C8" s="414" t="s">
        <v>2537</v>
      </c>
      <c r="D8" s="411">
        <v>100</v>
      </c>
      <c r="E8" s="2595" t="s">
        <v>3816</v>
      </c>
      <c r="F8" s="413">
        <f>SUMIF(61:61,E8,62:62)-SUMIF(61:61,C8,62:62)+100</f>
        <v>100</v>
      </c>
      <c r="G8" s="414" t="s">
        <v>3816</v>
      </c>
      <c r="H8" s="411">
        <f>SUMIF(61:61,G8,62:62)-SUMIF(61:61,C8,62:62)+100</f>
        <v>100</v>
      </c>
      <c r="I8" s="2595" t="s">
        <v>3816</v>
      </c>
      <c r="J8" s="411">
        <f>SUMIF(61:61,I8,62:62)-SUMIF(61:61,C8,62:62)+100</f>
        <v>100</v>
      </c>
      <c r="K8" s="2594"/>
      <c r="L8" s="1132"/>
      <c r="M8" s="1133"/>
      <c r="N8" s="1133"/>
      <c r="O8" s="1133"/>
      <c r="P8" s="3331" t="s">
        <v>2538</v>
      </c>
      <c r="Q8" s="3332"/>
      <c r="R8" s="770" t="s">
        <v>23</v>
      </c>
      <c r="S8" s="771">
        <f t="shared" si="0"/>
        <v>100</v>
      </c>
      <c r="T8" s="770" t="s">
        <v>23</v>
      </c>
      <c r="U8" s="771">
        <f t="shared" si="1"/>
        <v>100</v>
      </c>
      <c r="V8" s="770" t="s">
        <v>23</v>
      </c>
      <c r="W8" s="771">
        <f t="shared" si="2"/>
        <v>100</v>
      </c>
      <c r="X8" s="772"/>
      <c r="Y8" s="3331" t="s">
        <v>2538</v>
      </c>
      <c r="Z8" s="3332"/>
      <c r="AA8" s="773">
        <f t="shared" ref="AA8:AA19" si="3">D8/F8</f>
        <v>1</v>
      </c>
      <c r="AB8" s="773">
        <f t="shared" ref="AB8:AB19" si="4">D8/H8</f>
        <v>1</v>
      </c>
      <c r="AC8" s="773">
        <f t="shared" ref="AC8:AC19" si="5">D8/J8</f>
        <v>1</v>
      </c>
    </row>
    <row r="9" spans="1:29" s="117" customFormat="1">
      <c r="A9" s="415" t="s">
        <v>2539</v>
      </c>
      <c r="B9" s="71" t="s">
        <v>2540</v>
      </c>
      <c r="C9" s="3071" t="s">
        <v>3817</v>
      </c>
      <c r="D9" s="135">
        <v>100</v>
      </c>
      <c r="E9" s="417" t="s">
        <v>3059</v>
      </c>
      <c r="F9" s="418">
        <f>SUMIF(63:63,E9,64:64)-SUMIF(63:63,C9,64:64)+100</f>
        <v>100</v>
      </c>
      <c r="G9" s="419" t="s">
        <v>3059</v>
      </c>
      <c r="H9" s="135">
        <f>SUMIF(63:63,G9,64:64)-SUMIF(63:63,C9,64:64)+100</f>
        <v>100</v>
      </c>
      <c r="I9" s="419" t="s">
        <v>3059</v>
      </c>
      <c r="J9" s="135">
        <f>SUMIF(63:63,I9,64:64)-SUMIF(63:63,C9,64:64)+100</f>
        <v>100</v>
      </c>
      <c r="K9" s="2594"/>
      <c r="L9" s="1132"/>
      <c r="M9" s="1133"/>
      <c r="N9" s="1133"/>
      <c r="O9" s="1133"/>
      <c r="P9" s="3369" t="s">
        <v>2541</v>
      </c>
      <c r="Q9" s="1794" t="str">
        <f t="shared" ref="Q9:Q15" si="6">B9</f>
        <v>用途</v>
      </c>
      <c r="R9" s="770" t="s">
        <v>17</v>
      </c>
      <c r="S9" s="771">
        <f t="shared" si="0"/>
        <v>100</v>
      </c>
      <c r="T9" s="770" t="s">
        <v>17</v>
      </c>
      <c r="U9" s="771">
        <f t="shared" si="1"/>
        <v>100</v>
      </c>
      <c r="V9" s="770" t="s">
        <v>17</v>
      </c>
      <c r="W9" s="771">
        <f t="shared" si="2"/>
        <v>100</v>
      </c>
      <c r="X9" s="772"/>
      <c r="Y9" s="3147" t="s">
        <v>2542</v>
      </c>
      <c r="Z9" s="55" t="str">
        <f t="shared" ref="Z9:Z15" si="7">Q9</f>
        <v>用途</v>
      </c>
      <c r="AA9" s="773">
        <f t="shared" si="3"/>
        <v>1</v>
      </c>
      <c r="AB9" s="773">
        <f t="shared" si="4"/>
        <v>1</v>
      </c>
      <c r="AC9" s="773">
        <f t="shared" si="5"/>
        <v>1</v>
      </c>
    </row>
    <row r="10" spans="1:29" s="427" customFormat="1" ht="27">
      <c r="A10" s="421"/>
      <c r="B10" s="422" t="s">
        <v>2543</v>
      </c>
      <c r="C10" s="423" t="s">
        <v>3812</v>
      </c>
      <c r="D10" s="136">
        <v>100</v>
      </c>
      <c r="E10" s="424" t="s">
        <v>3812</v>
      </c>
      <c r="F10" s="425">
        <f>SUMIF(65:65,E10,66:66)-SUMIF(65:65,C10,66:66)+100</f>
        <v>100</v>
      </c>
      <c r="G10" s="423" t="s">
        <v>3812</v>
      </c>
      <c r="H10" s="136">
        <f>SUMIF(65:65,G10,66:66)-SUMIF(65:65,C10,66:66)+100</f>
        <v>100</v>
      </c>
      <c r="I10" s="423" t="s">
        <v>3812</v>
      </c>
      <c r="J10" s="136">
        <f>SUMIF(65:65,I10,66:66)-SUMIF(65:65,C10,66:66)+100</f>
        <v>100</v>
      </c>
      <c r="K10" s="426">
        <v>2</v>
      </c>
      <c r="L10" s="1135"/>
      <c r="M10" s="1136"/>
      <c r="N10" s="1136"/>
      <c r="O10" s="1136"/>
      <c r="P10" s="3369"/>
      <c r="Q10" s="1794"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773">
        <f t="shared" si="5"/>
        <v>1</v>
      </c>
    </row>
    <row r="11" spans="1:29" ht="15.75" thickBot="1">
      <c r="A11" s="428"/>
      <c r="B11" s="422" t="s">
        <v>2544</v>
      </c>
      <c r="C11" s="429">
        <v>2</v>
      </c>
      <c r="D11" s="136">
        <v>100</v>
      </c>
      <c r="E11" s="430">
        <v>1.95</v>
      </c>
      <c r="F11" s="425">
        <f>LOOKUP(E11,68:68,69:69)-LOOKUP(C11,68:68,69:69)+100</f>
        <v>102</v>
      </c>
      <c r="G11" s="429">
        <v>2</v>
      </c>
      <c r="H11" s="136">
        <f>LOOKUP(G11,68:68,69:69)-LOOKUP(C11,68:68,69:69)+100</f>
        <v>100</v>
      </c>
      <c r="I11" s="429">
        <v>1.6</v>
      </c>
      <c r="J11" s="136">
        <f>LOOKUP(I11,68:68,69:69)-LOOKUP(C11,68:68,69:69)+100</f>
        <v>102</v>
      </c>
      <c r="K11" s="426">
        <v>2</v>
      </c>
      <c r="L11" s="1138"/>
      <c r="M11" s="1131"/>
      <c r="N11" s="1131"/>
      <c r="O11" s="1131"/>
      <c r="P11" s="3369"/>
      <c r="Q11" s="1794" t="str">
        <f t="shared" si="6"/>
        <v>容积率</v>
      </c>
      <c r="R11" s="770" t="s">
        <v>21</v>
      </c>
      <c r="S11" s="771">
        <f t="shared" si="0"/>
        <v>102</v>
      </c>
      <c r="T11" s="770" t="s">
        <v>21</v>
      </c>
      <c r="U11" s="771">
        <f t="shared" si="1"/>
        <v>100</v>
      </c>
      <c r="V11" s="770" t="s">
        <v>21</v>
      </c>
      <c r="W11" s="771">
        <f t="shared" si="2"/>
        <v>102</v>
      </c>
      <c r="X11" s="772"/>
      <c r="Y11" s="3147"/>
      <c r="Z11" s="55" t="str">
        <f t="shared" si="7"/>
        <v>容积率</v>
      </c>
      <c r="AA11" s="773">
        <f t="shared" si="3"/>
        <v>0.98039215686274506</v>
      </c>
      <c r="AB11" s="773">
        <f t="shared" si="4"/>
        <v>1</v>
      </c>
      <c r="AC11" s="773">
        <f t="shared" si="5"/>
        <v>0.98039215686274506</v>
      </c>
    </row>
    <row r="12" spans="1:29" s="117" customFormat="1" ht="15" hidden="1">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369"/>
      <c r="Q12" s="1794">
        <f t="shared" si="6"/>
        <v>111</v>
      </c>
      <c r="R12" s="770" t="s">
        <v>21</v>
      </c>
      <c r="S12" s="771">
        <f t="shared" si="0"/>
        <v>100</v>
      </c>
      <c r="T12" s="770" t="s">
        <v>21</v>
      </c>
      <c r="U12" s="771">
        <f t="shared" si="1"/>
        <v>100</v>
      </c>
      <c r="V12" s="770" t="s">
        <v>21</v>
      </c>
      <c r="W12" s="771">
        <f t="shared" si="2"/>
        <v>100</v>
      </c>
      <c r="X12" s="772"/>
      <c r="Y12" s="3147"/>
      <c r="Z12" s="55">
        <f t="shared" si="7"/>
        <v>111</v>
      </c>
      <c r="AA12" s="773">
        <f>D12/F12</f>
        <v>1</v>
      </c>
      <c r="AB12" s="773">
        <f>D12/H12</f>
        <v>1</v>
      </c>
      <c r="AC12" s="773">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369"/>
      <c r="Q13" s="1794">
        <f t="shared" si="6"/>
        <v>111</v>
      </c>
      <c r="R13" s="770" t="s">
        <v>21</v>
      </c>
      <c r="S13" s="771">
        <f t="shared" si="0"/>
        <v>100</v>
      </c>
      <c r="T13" s="770" t="s">
        <v>21</v>
      </c>
      <c r="U13" s="771">
        <f t="shared" si="1"/>
        <v>100</v>
      </c>
      <c r="V13" s="770" t="s">
        <v>21</v>
      </c>
      <c r="W13" s="771">
        <f t="shared" si="2"/>
        <v>100</v>
      </c>
      <c r="X13" s="772"/>
      <c r="Y13" s="3147"/>
      <c r="Z13" s="55">
        <f t="shared" si="7"/>
        <v>111</v>
      </c>
      <c r="AA13" s="773">
        <f t="shared" si="3"/>
        <v>1</v>
      </c>
      <c r="AB13" s="773">
        <f t="shared" si="4"/>
        <v>1</v>
      </c>
      <c r="AC13" s="773">
        <f t="shared" si="5"/>
        <v>1</v>
      </c>
    </row>
    <row r="14" spans="1:29" ht="15.75" hidden="1"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369"/>
      <c r="Q14" s="1794">
        <f t="shared" si="6"/>
        <v>111</v>
      </c>
      <c r="R14" s="770" t="s">
        <v>21</v>
      </c>
      <c r="S14" s="771">
        <f t="shared" si="0"/>
        <v>100</v>
      </c>
      <c r="T14" s="770" t="s">
        <v>21</v>
      </c>
      <c r="U14" s="771">
        <f t="shared" si="1"/>
        <v>100</v>
      </c>
      <c r="V14" s="770" t="s">
        <v>21</v>
      </c>
      <c r="W14" s="771">
        <f t="shared" si="2"/>
        <v>100</v>
      </c>
      <c r="X14" s="772"/>
      <c r="Y14" s="3147"/>
      <c r="Z14" s="55">
        <f t="shared" si="7"/>
        <v>111</v>
      </c>
      <c r="AA14" s="773">
        <f t="shared" si="3"/>
        <v>1</v>
      </c>
      <c r="AB14" s="773">
        <f t="shared" si="4"/>
        <v>1</v>
      </c>
      <c r="AC14" s="773">
        <f t="shared" si="5"/>
        <v>1</v>
      </c>
    </row>
    <row r="15" spans="1:29" ht="15">
      <c r="A15" s="440" t="s">
        <v>2545</v>
      </c>
      <c r="B15" s="69" t="s">
        <v>2082</v>
      </c>
      <c r="C15" s="2599" t="str">
        <f>估价对象房地状况!C3</f>
        <v>较好</v>
      </c>
      <c r="D15" s="441">
        <v>100</v>
      </c>
      <c r="E15" s="444"/>
      <c r="F15" s="441">
        <f>SUMIF(76:76,E16,77:77)-SUMIF(76:76,C16,77:77)+100</f>
        <v>95</v>
      </c>
      <c r="G15" s="442"/>
      <c r="H15" s="441">
        <f>SUMIF(76:76,G16,77:77)-SUMIF(76:76,C16,77:77)+100</f>
        <v>95</v>
      </c>
      <c r="I15" s="442"/>
      <c r="J15" s="441">
        <f>SUMIF(76:76,I16,77:77)-SUMIF(76:76,C16,77:77)+100</f>
        <v>95</v>
      </c>
      <c r="K15" s="445">
        <v>5</v>
      </c>
      <c r="L15" s="1140"/>
      <c r="M15" s="1131"/>
      <c r="N15" s="1131"/>
      <c r="O15" s="1131"/>
      <c r="P15" s="3410" t="s">
        <v>2546</v>
      </c>
      <c r="Q15" s="1809" t="str">
        <f t="shared" si="6"/>
        <v>居住社区成熟度</v>
      </c>
      <c r="R15" s="774" t="s">
        <v>21</v>
      </c>
      <c r="S15" s="775">
        <f t="shared" si="0"/>
        <v>95</v>
      </c>
      <c r="T15" s="774" t="s">
        <v>21</v>
      </c>
      <c r="U15" s="775">
        <f t="shared" si="1"/>
        <v>95</v>
      </c>
      <c r="V15" s="774" t="s">
        <v>21</v>
      </c>
      <c r="W15" s="775">
        <f t="shared" si="2"/>
        <v>95</v>
      </c>
      <c r="X15" s="1812"/>
      <c r="Y15" s="3360" t="s">
        <v>2546</v>
      </c>
      <c r="Z15" s="1813" t="str">
        <f t="shared" si="7"/>
        <v>居住社区成熟度</v>
      </c>
      <c r="AA15" s="1810">
        <f t="shared" si="3"/>
        <v>1.0526315789473684</v>
      </c>
      <c r="AB15" s="1810">
        <f t="shared" si="4"/>
        <v>1.0526315789473684</v>
      </c>
      <c r="AC15" s="1810">
        <f t="shared" si="5"/>
        <v>1.0526315789473684</v>
      </c>
    </row>
    <row r="16" spans="1:29" ht="15">
      <c r="A16" s="428"/>
      <c r="B16" s="446"/>
      <c r="C16" s="447" t="s">
        <v>3300</v>
      </c>
      <c r="D16" s="448"/>
      <c r="E16" s="2600" t="s">
        <v>3778</v>
      </c>
      <c r="F16" s="448"/>
      <c r="G16" s="2601" t="s">
        <v>3778</v>
      </c>
      <c r="H16" s="450"/>
      <c r="I16" s="2601" t="s">
        <v>3778</v>
      </c>
      <c r="J16" s="448"/>
      <c r="K16" s="2602"/>
      <c r="L16" s="1140"/>
      <c r="M16" s="1131"/>
      <c r="N16" s="1131"/>
      <c r="O16" s="1131"/>
      <c r="P16" s="3411"/>
      <c r="Q16" s="1809"/>
      <c r="R16" s="774"/>
      <c r="S16" s="775"/>
      <c r="T16" s="774"/>
      <c r="U16" s="775"/>
      <c r="V16" s="774"/>
      <c r="W16" s="775"/>
      <c r="X16" s="1812"/>
      <c r="Y16" s="3361"/>
      <c r="Z16" s="1813"/>
      <c r="AA16" s="1810">
        <v>1</v>
      </c>
      <c r="AB16" s="1810">
        <v>1</v>
      </c>
      <c r="AC16" s="1810">
        <v>1</v>
      </c>
    </row>
    <row r="17" spans="1:29" ht="15">
      <c r="A17" s="428"/>
      <c r="B17" s="451" t="s">
        <v>2088</v>
      </c>
      <c r="C17" s="2603" t="str">
        <f>估价对象房地状况!C6</f>
        <v>较好</v>
      </c>
      <c r="D17" s="450">
        <v>100</v>
      </c>
      <c r="E17" s="454"/>
      <c r="F17" s="450">
        <f>SUMIF(78:78,E18,79:79)-SUMIF(78:78,C18,79:79)+100</f>
        <v>100</v>
      </c>
      <c r="G17" s="452"/>
      <c r="H17" s="455">
        <f>SUMIF(78:78,G18,79:79)-SUMIF(78:78,C18,79:79)+100</f>
        <v>97</v>
      </c>
      <c r="I17" s="452"/>
      <c r="J17" s="455">
        <f>SUMIF(78:78,I18,79:79)-SUMIF(78:78,C18,79:79)+100</f>
        <v>100</v>
      </c>
      <c r="K17" s="445">
        <v>3</v>
      </c>
      <c r="L17" s="1140"/>
      <c r="M17" s="1131"/>
      <c r="N17" s="1131"/>
      <c r="O17" s="1131"/>
      <c r="P17" s="3411"/>
      <c r="Q17" s="1809" t="str">
        <f>B17</f>
        <v>交通便捷度</v>
      </c>
      <c r="R17" s="774" t="s">
        <v>21</v>
      </c>
      <c r="S17" s="775">
        <f>F17</f>
        <v>100</v>
      </c>
      <c r="T17" s="774" t="s">
        <v>21</v>
      </c>
      <c r="U17" s="775">
        <f>H17</f>
        <v>97</v>
      </c>
      <c r="V17" s="774" t="s">
        <v>21</v>
      </c>
      <c r="W17" s="775">
        <f>J17</f>
        <v>100</v>
      </c>
      <c r="X17" s="1812"/>
      <c r="Y17" s="3361"/>
      <c r="Z17" s="1813" t="str">
        <f>Q17</f>
        <v>交通便捷度</v>
      </c>
      <c r="AA17" s="1810">
        <f t="shared" si="3"/>
        <v>1</v>
      </c>
      <c r="AB17" s="1810">
        <f t="shared" si="4"/>
        <v>1.0309278350515463</v>
      </c>
      <c r="AC17" s="1810">
        <f t="shared" si="5"/>
        <v>1</v>
      </c>
    </row>
    <row r="18" spans="1:29" ht="15">
      <c r="A18" s="428"/>
      <c r="B18" s="456"/>
      <c r="C18" s="2604" t="s">
        <v>3300</v>
      </c>
      <c r="D18" s="450"/>
      <c r="E18" s="2605" t="s">
        <v>3300</v>
      </c>
      <c r="F18" s="450"/>
      <c r="G18" s="2606" t="s">
        <v>3778</v>
      </c>
      <c r="H18" s="448"/>
      <c r="I18" s="2606" t="s">
        <v>3300</v>
      </c>
      <c r="J18" s="448"/>
      <c r="K18" s="2602"/>
      <c r="L18" s="1140"/>
      <c r="M18" s="1131"/>
      <c r="N18" s="1131"/>
      <c r="O18" s="1131"/>
      <c r="P18" s="3411"/>
      <c r="Q18" s="1809"/>
      <c r="R18" s="774"/>
      <c r="S18" s="775"/>
      <c r="T18" s="774"/>
      <c r="U18" s="775"/>
      <c r="V18" s="774"/>
      <c r="W18" s="775"/>
      <c r="X18" s="1812"/>
      <c r="Y18" s="3361"/>
      <c r="Z18" s="1813"/>
      <c r="AA18" s="1810">
        <v>1</v>
      </c>
      <c r="AB18" s="1810">
        <v>1</v>
      </c>
      <c r="AC18" s="1810">
        <v>1</v>
      </c>
    </row>
    <row r="19" spans="1:29" ht="15">
      <c r="A19" s="428"/>
      <c r="B19" s="451" t="s">
        <v>2087</v>
      </c>
      <c r="C19" s="2603" t="str">
        <f>估价对象房地状况!C7</f>
        <v>较好</v>
      </c>
      <c r="D19" s="455">
        <v>100</v>
      </c>
      <c r="E19" s="459"/>
      <c r="F19" s="455">
        <f>SUMIF(80:80,E20,81:81)-SUMIF(80:80,C20,81:81)+100</f>
        <v>98</v>
      </c>
      <c r="G19" s="457"/>
      <c r="H19" s="450">
        <f>SUMIF(80:80,G20,81:81)-SUMIF(80:80,C20,81:81)+100</f>
        <v>98</v>
      </c>
      <c r="I19" s="457"/>
      <c r="J19" s="450">
        <f>SUMIF(80:80,I20,81:81)-SUMIF(80:80,C20,81:81)+100</f>
        <v>100</v>
      </c>
      <c r="K19" s="445">
        <v>2</v>
      </c>
      <c r="L19" s="1140"/>
      <c r="M19" s="1131"/>
      <c r="N19" s="1131"/>
      <c r="O19" s="1131"/>
      <c r="P19" s="3411"/>
      <c r="Q19" s="1809" t="str">
        <f>B19</f>
        <v>公共配套设施</v>
      </c>
      <c r="R19" s="774" t="s">
        <v>21</v>
      </c>
      <c r="S19" s="775">
        <f>F19</f>
        <v>98</v>
      </c>
      <c r="T19" s="774" t="s">
        <v>21</v>
      </c>
      <c r="U19" s="775">
        <f>H19</f>
        <v>98</v>
      </c>
      <c r="V19" s="774" t="s">
        <v>21</v>
      </c>
      <c r="W19" s="775">
        <f>J19</f>
        <v>100</v>
      </c>
      <c r="X19" s="1812"/>
      <c r="Y19" s="3361"/>
      <c r="Z19" s="1813" t="str">
        <f>Q19</f>
        <v>公共配套设施</v>
      </c>
      <c r="AA19" s="1810">
        <f t="shared" si="3"/>
        <v>1.0204081632653061</v>
      </c>
      <c r="AB19" s="1810">
        <f t="shared" si="4"/>
        <v>1.0204081632653061</v>
      </c>
      <c r="AC19" s="1810">
        <f t="shared" si="5"/>
        <v>1</v>
      </c>
    </row>
    <row r="20" spans="1:29" ht="15">
      <c r="A20" s="428"/>
      <c r="B20" s="456"/>
      <c r="C20" s="447" t="s">
        <v>3300</v>
      </c>
      <c r="D20" s="448"/>
      <c r="E20" s="2600" t="s">
        <v>3778</v>
      </c>
      <c r="F20" s="448"/>
      <c r="G20" s="2601" t="s">
        <v>3778</v>
      </c>
      <c r="H20" s="448"/>
      <c r="I20" s="2601" t="s">
        <v>3300</v>
      </c>
      <c r="J20" s="448"/>
      <c r="K20" s="2602"/>
      <c r="L20" s="1140"/>
      <c r="M20" s="1131"/>
      <c r="N20" s="1131"/>
      <c r="O20" s="1131"/>
      <c r="P20" s="3411"/>
      <c r="Q20" s="1809"/>
      <c r="R20" s="774"/>
      <c r="S20" s="775"/>
      <c r="T20" s="774"/>
      <c r="U20" s="775"/>
      <c r="V20" s="774"/>
      <c r="W20" s="775"/>
      <c r="X20" s="1812"/>
      <c r="Y20" s="3361"/>
      <c r="Z20" s="1813"/>
      <c r="AA20" s="1810">
        <v>1</v>
      </c>
      <c r="AB20" s="1810">
        <v>1</v>
      </c>
      <c r="AC20" s="1810">
        <v>1</v>
      </c>
    </row>
    <row r="21" spans="1:29" ht="15">
      <c r="A21" s="428"/>
      <c r="B21" s="1384" t="s">
        <v>2089</v>
      </c>
      <c r="C21" s="2603" t="str">
        <f>估价对象房地状况!C8</f>
        <v>七通</v>
      </c>
      <c r="D21" s="450">
        <v>100</v>
      </c>
      <c r="E21" s="459"/>
      <c r="F21" s="455">
        <f>SUMIF(82:82,E22,83:83)-SUMIF(82:82,C22,83:83)+100</f>
        <v>100</v>
      </c>
      <c r="G21" s="459"/>
      <c r="H21" s="450">
        <f>SUMIF(82:82,G22,83:83)-SUMIF(82:82,C22,83:83)+100</f>
        <v>100</v>
      </c>
      <c r="I21" s="459"/>
      <c r="J21" s="450">
        <f>SUMIF(82:82,I22,83:83)-SUMIF(82:82,C22,83:83)+100</f>
        <v>100</v>
      </c>
      <c r="K21" s="445">
        <v>1</v>
      </c>
      <c r="L21" s="1140"/>
      <c r="M21" s="1131"/>
      <c r="N21" s="1131"/>
      <c r="O21" s="1131"/>
      <c r="P21" s="3411"/>
      <c r="Q21" s="1809" t="str">
        <f>B21</f>
        <v>基础设施水平</v>
      </c>
      <c r="R21" s="774" t="s">
        <v>17</v>
      </c>
      <c r="S21" s="775">
        <f>F21</f>
        <v>100</v>
      </c>
      <c r="T21" s="774" t="s">
        <v>17</v>
      </c>
      <c r="U21" s="775">
        <f>H21</f>
        <v>100</v>
      </c>
      <c r="V21" s="774" t="s">
        <v>17</v>
      </c>
      <c r="W21" s="775">
        <f>J21</f>
        <v>100</v>
      </c>
      <c r="X21" s="1812"/>
      <c r="Y21" s="3361"/>
      <c r="Z21" s="1813" t="str">
        <f>Q21</f>
        <v>基础设施水平</v>
      </c>
      <c r="AA21" s="1810">
        <f t="shared" ref="AA21" si="8">D21/F21</f>
        <v>1</v>
      </c>
      <c r="AB21" s="1810">
        <f t="shared" ref="AB21" si="9">D21/H21</f>
        <v>1</v>
      </c>
      <c r="AC21" s="1810">
        <f t="shared" ref="AC21" si="10">D21/J21</f>
        <v>1</v>
      </c>
    </row>
    <row r="22" spans="1:29" ht="15">
      <c r="A22" s="428"/>
      <c r="B22" s="1384"/>
      <c r="C22" s="2604" t="s">
        <v>3780</v>
      </c>
      <c r="D22" s="448"/>
      <c r="E22" s="447" t="s">
        <v>3780</v>
      </c>
      <c r="F22" s="448"/>
      <c r="G22" s="447" t="s">
        <v>3780</v>
      </c>
      <c r="H22" s="448"/>
      <c r="I22" s="447" t="s">
        <v>3780</v>
      </c>
      <c r="J22" s="448"/>
      <c r="K22" s="2608"/>
      <c r="L22" s="1140"/>
      <c r="M22" s="1131"/>
      <c r="N22" s="1131"/>
      <c r="O22" s="1131"/>
      <c r="P22" s="3411"/>
      <c r="Q22" s="1809"/>
      <c r="R22" s="774"/>
      <c r="S22" s="775"/>
      <c r="T22" s="774"/>
      <c r="U22" s="775"/>
      <c r="V22" s="774"/>
      <c r="W22" s="775"/>
      <c r="X22" s="1812"/>
      <c r="Y22" s="3361"/>
      <c r="Z22" s="1813"/>
      <c r="AA22" s="1810">
        <v>1</v>
      </c>
      <c r="AB22" s="1810">
        <v>1</v>
      </c>
      <c r="AC22" s="1810">
        <v>1</v>
      </c>
    </row>
    <row r="23" spans="1:29" ht="15">
      <c r="A23" s="428"/>
      <c r="B23" s="451" t="s">
        <v>2091</v>
      </c>
      <c r="C23" s="2603" t="str">
        <f>估价对象房地状况!C9</f>
        <v>一般</v>
      </c>
      <c r="D23" s="450">
        <v>100</v>
      </c>
      <c r="E23" s="454"/>
      <c r="F23" s="450">
        <f>SUMIF(84:84,E24,85:85)-SUMIF(84:84,C24,85:85)+100</f>
        <v>100</v>
      </c>
      <c r="G23" s="454"/>
      <c r="H23" s="450">
        <f>SUMIF(84:84,G24,85:85)-SUMIF(84:84,C24,85:85)+100</f>
        <v>100</v>
      </c>
      <c r="I23" s="454"/>
      <c r="J23" s="450">
        <f>SUMIF(84:84,I24,85:85)-SUMIF(84:84,C24,85:85)+100</f>
        <v>100</v>
      </c>
      <c r="K23" s="445">
        <v>2</v>
      </c>
      <c r="L23" s="1140"/>
      <c r="M23" s="1131"/>
      <c r="N23" s="1131"/>
      <c r="O23" s="1131"/>
      <c r="P23" s="3411"/>
      <c r="Q23" s="1809" t="str">
        <f>B23</f>
        <v>自然及人文环境</v>
      </c>
      <c r="R23" s="774" t="s">
        <v>21</v>
      </c>
      <c r="S23" s="775">
        <f>F23</f>
        <v>100</v>
      </c>
      <c r="T23" s="774" t="s">
        <v>21</v>
      </c>
      <c r="U23" s="775">
        <f>H23</f>
        <v>100</v>
      </c>
      <c r="V23" s="774" t="s">
        <v>21</v>
      </c>
      <c r="W23" s="775">
        <f>J23</f>
        <v>100</v>
      </c>
      <c r="X23" s="1812"/>
      <c r="Y23" s="3361"/>
      <c r="Z23" s="1813" t="str">
        <f>Q23</f>
        <v>自然及人文环境</v>
      </c>
      <c r="AA23" s="1810">
        <f>D23/F23</f>
        <v>1</v>
      </c>
      <c r="AB23" s="1810">
        <f>D23/H23</f>
        <v>1</v>
      </c>
      <c r="AC23" s="1810">
        <f>D23/J23</f>
        <v>1</v>
      </c>
    </row>
    <row r="24" spans="1:29" ht="15">
      <c r="A24" s="428"/>
      <c r="B24" s="456"/>
      <c r="C24" s="447" t="s">
        <v>3778</v>
      </c>
      <c r="D24" s="448"/>
      <c r="E24" s="2600" t="s">
        <v>3778</v>
      </c>
      <c r="F24" s="448"/>
      <c r="G24" s="2600" t="s">
        <v>3778</v>
      </c>
      <c r="H24" s="448"/>
      <c r="I24" s="2600" t="s">
        <v>3778</v>
      </c>
      <c r="J24" s="448"/>
      <c r="K24" s="2602"/>
      <c r="L24" s="1140"/>
      <c r="M24" s="1131"/>
      <c r="N24" s="1131"/>
      <c r="O24" s="1131"/>
      <c r="P24" s="3411"/>
      <c r="Q24" s="1809"/>
      <c r="R24" s="774"/>
      <c r="S24" s="775"/>
      <c r="T24" s="774"/>
      <c r="U24" s="775"/>
      <c r="V24" s="774"/>
      <c r="W24" s="775"/>
      <c r="X24" s="1812"/>
      <c r="Y24" s="3361"/>
      <c r="Z24" s="1813"/>
      <c r="AA24" s="1810">
        <v>1</v>
      </c>
      <c r="AB24" s="1810">
        <v>1</v>
      </c>
      <c r="AC24" s="1810">
        <v>1</v>
      </c>
    </row>
    <row r="25" spans="1:29" ht="15" hidden="1">
      <c r="A25" s="428"/>
      <c r="B25" s="422" t="s">
        <v>2547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41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361"/>
      <c r="Z25" s="1813" t="str">
        <f>Q25</f>
        <v>楼层-1</v>
      </c>
      <c r="AA25" s="1810">
        <f t="shared" ref="AA25:AA46" si="15">D25/F25</f>
        <v>1</v>
      </c>
      <c r="AB25" s="1810">
        <f t="shared" ref="AB25:AB46" si="16">D25/H25</f>
        <v>1</v>
      </c>
      <c r="AC25" s="1810">
        <f t="shared" ref="AC25:AC46" si="17">D25/J25</f>
        <v>1</v>
      </c>
    </row>
    <row r="26" spans="1:29" ht="15" hidden="1">
      <c r="A26" s="428"/>
      <c r="B26" s="422" t="s">
        <v>2548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411"/>
      <c r="Q26" s="1809" t="str">
        <f t="shared" si="11"/>
        <v>朝向</v>
      </c>
      <c r="R26" s="774" t="s">
        <v>21</v>
      </c>
      <c r="S26" s="775">
        <f t="shared" si="12"/>
        <v>100</v>
      </c>
      <c r="T26" s="774" t="s">
        <v>21</v>
      </c>
      <c r="U26" s="775">
        <f t="shared" si="13"/>
        <v>100</v>
      </c>
      <c r="V26" s="774" t="s">
        <v>21</v>
      </c>
      <c r="W26" s="775">
        <f t="shared" si="14"/>
        <v>100</v>
      </c>
      <c r="X26" s="1812"/>
      <c r="Y26" s="3361"/>
      <c r="Z26" s="1813" t="str">
        <f>Q26</f>
        <v>朝向</v>
      </c>
      <c r="AA26" s="1810">
        <f t="shared" si="15"/>
        <v>1</v>
      </c>
      <c r="AB26" s="1810">
        <f t="shared" si="16"/>
        <v>1</v>
      </c>
      <c r="AC26" s="1810">
        <f t="shared" si="17"/>
        <v>1</v>
      </c>
    </row>
    <row r="27" spans="1:29" s="117" customFormat="1" ht="15.75" thickBot="1">
      <c r="A27" s="431"/>
      <c r="B27" s="3070" t="s">
        <v>3797</v>
      </c>
      <c r="C27" s="3066" t="s">
        <v>3798</v>
      </c>
      <c r="D27" s="462">
        <v>100</v>
      </c>
      <c r="E27" s="3067" t="s">
        <v>3814</v>
      </c>
      <c r="F27" s="462">
        <f>SUMIF(90:90,E27,91:91)-SUMIF(90:90,C27,91:91)+100</f>
        <v>102</v>
      </c>
      <c r="G27" s="3068" t="s">
        <v>3815</v>
      </c>
      <c r="H27" s="462">
        <f>SUMIF(90:90,G27,91:91)-SUMIF(90:90,C27,91:91)+100</f>
        <v>98</v>
      </c>
      <c r="I27" s="3068" t="s">
        <v>3814</v>
      </c>
      <c r="J27" s="462">
        <f>SUMIF(90:90,I27,91:91)-SUMIF(90:90,C27,91:91)+100</f>
        <v>102</v>
      </c>
      <c r="K27" s="2597"/>
      <c r="L27" s="1132"/>
      <c r="M27" s="1133"/>
      <c r="N27" s="1133"/>
      <c r="O27" s="1133"/>
      <c r="P27" s="3411"/>
      <c r="Q27" s="1794" t="str">
        <f t="shared" si="11"/>
        <v>道路级别</v>
      </c>
      <c r="R27" s="770" t="s">
        <v>21</v>
      </c>
      <c r="S27" s="771">
        <f t="shared" si="12"/>
        <v>102</v>
      </c>
      <c r="T27" s="770" t="s">
        <v>21</v>
      </c>
      <c r="U27" s="771">
        <f t="shared" si="13"/>
        <v>98</v>
      </c>
      <c r="V27" s="770" t="s">
        <v>21</v>
      </c>
      <c r="W27" s="771">
        <f t="shared" si="14"/>
        <v>102</v>
      </c>
      <c r="X27" s="772"/>
      <c r="Y27" s="3361"/>
      <c r="Z27" s="55" t="str">
        <f>Q27</f>
        <v>道路级别</v>
      </c>
      <c r="AA27" s="1810">
        <f t="shared" si="15"/>
        <v>0.98039215686274506</v>
      </c>
      <c r="AB27" s="1810">
        <f t="shared" si="16"/>
        <v>1.0204081632653061</v>
      </c>
      <c r="AC27" s="1810">
        <f t="shared" si="17"/>
        <v>0.98039215686274506</v>
      </c>
    </row>
    <row r="28" spans="1:29" ht="15" hidden="1">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411"/>
      <c r="Q28" s="1809">
        <f t="shared" si="11"/>
        <v>111</v>
      </c>
      <c r="R28" s="774" t="s">
        <v>21</v>
      </c>
      <c r="S28" s="775">
        <f t="shared" si="12"/>
        <v>100</v>
      </c>
      <c r="T28" s="774" t="s">
        <v>21</v>
      </c>
      <c r="U28" s="775">
        <f t="shared" si="13"/>
        <v>100</v>
      </c>
      <c r="V28" s="774" t="s">
        <v>21</v>
      </c>
      <c r="W28" s="775">
        <f t="shared" si="14"/>
        <v>100</v>
      </c>
      <c r="X28" s="1812"/>
      <c r="Y28" s="3361"/>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411"/>
      <c r="Q29" s="1809">
        <f t="shared" si="11"/>
        <v>111</v>
      </c>
      <c r="R29" s="774" t="s">
        <v>21</v>
      </c>
      <c r="S29" s="775">
        <f t="shared" si="12"/>
        <v>100</v>
      </c>
      <c r="T29" s="774" t="s">
        <v>21</v>
      </c>
      <c r="U29" s="775">
        <f t="shared" si="13"/>
        <v>100</v>
      </c>
      <c r="V29" s="774" t="s">
        <v>21</v>
      </c>
      <c r="W29" s="775">
        <f t="shared" si="14"/>
        <v>100</v>
      </c>
      <c r="X29" s="1812"/>
      <c r="Y29" s="3361"/>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411"/>
      <c r="Q30" s="1809">
        <f t="shared" si="11"/>
        <v>111</v>
      </c>
      <c r="R30" s="774" t="s">
        <v>21</v>
      </c>
      <c r="S30" s="775">
        <f t="shared" si="12"/>
        <v>100</v>
      </c>
      <c r="T30" s="774" t="s">
        <v>21</v>
      </c>
      <c r="U30" s="775">
        <f t="shared" si="13"/>
        <v>100</v>
      </c>
      <c r="V30" s="774" t="s">
        <v>21</v>
      </c>
      <c r="W30" s="775">
        <f t="shared" si="14"/>
        <v>100</v>
      </c>
      <c r="X30" s="1812"/>
      <c r="Y30" s="3361"/>
      <c r="Z30" s="1813">
        <f t="shared" si="18"/>
        <v>111</v>
      </c>
      <c r="AA30" s="1810">
        <f t="shared" si="15"/>
        <v>1</v>
      </c>
      <c r="AB30" s="1810">
        <f t="shared" si="16"/>
        <v>1</v>
      </c>
      <c r="AC30" s="1810">
        <f t="shared" si="17"/>
        <v>1</v>
      </c>
    </row>
    <row r="31" spans="1:29" ht="15.75" hidden="1"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411"/>
      <c r="Q31" s="1809">
        <f t="shared" si="11"/>
        <v>111</v>
      </c>
      <c r="R31" s="774" t="s">
        <v>21</v>
      </c>
      <c r="S31" s="775">
        <f t="shared" si="12"/>
        <v>100</v>
      </c>
      <c r="T31" s="774" t="s">
        <v>21</v>
      </c>
      <c r="U31" s="775">
        <f t="shared" si="13"/>
        <v>100</v>
      </c>
      <c r="V31" s="774" t="s">
        <v>21</v>
      </c>
      <c r="W31" s="775">
        <f t="shared" si="14"/>
        <v>100</v>
      </c>
      <c r="X31" s="1812"/>
      <c r="Y31" s="3361"/>
      <c r="Z31" s="1813">
        <f t="shared" si="18"/>
        <v>111</v>
      </c>
      <c r="AA31" s="1810">
        <f t="shared" si="15"/>
        <v>1</v>
      </c>
      <c r="AB31" s="1810">
        <f t="shared" si="16"/>
        <v>1</v>
      </c>
      <c r="AC31" s="1810">
        <f t="shared" si="17"/>
        <v>1</v>
      </c>
    </row>
    <row r="32" spans="1:29" ht="15">
      <c r="A32" s="440" t="s">
        <v>2549</v>
      </c>
      <c r="B32" s="71" t="s">
        <v>2550</v>
      </c>
      <c r="C32" s="2613" t="s">
        <v>3760</v>
      </c>
      <c r="D32" s="467">
        <v>100</v>
      </c>
      <c r="E32" s="2614" t="s">
        <v>3760</v>
      </c>
      <c r="F32" s="461">
        <f>SUMIF(100:100,E32,101:101)-SUMIF(100:100,C32,101:101)+100</f>
        <v>100</v>
      </c>
      <c r="G32" s="2613" t="s">
        <v>3760</v>
      </c>
      <c r="H32" s="467">
        <f>SUMIF(100:100,G32,101:101)-SUMIF(100:100,C32,101:101)+100</f>
        <v>100</v>
      </c>
      <c r="I32" s="2614" t="s">
        <v>3760</v>
      </c>
      <c r="J32" s="435">
        <f>SUMIF(100:100,I32,101:101)-SUMIF(100:100,C32,101:101)+100</f>
        <v>100</v>
      </c>
      <c r="K32" s="426">
        <v>10</v>
      </c>
      <c r="L32" s="1140"/>
      <c r="M32" s="1131"/>
      <c r="N32" s="1131"/>
      <c r="O32" s="1131"/>
      <c r="P32" s="3406" t="s">
        <v>2551</v>
      </c>
      <c r="Q32" s="1809" t="str">
        <f t="shared" si="11"/>
        <v>建筑类型</v>
      </c>
      <c r="R32" s="774" t="s">
        <v>21</v>
      </c>
      <c r="S32" s="775">
        <f t="shared" si="12"/>
        <v>100</v>
      </c>
      <c r="T32" s="774" t="s">
        <v>21</v>
      </c>
      <c r="U32" s="775">
        <f t="shared" si="13"/>
        <v>100</v>
      </c>
      <c r="V32" s="774" t="s">
        <v>21</v>
      </c>
      <c r="W32" s="775">
        <f t="shared" si="14"/>
        <v>100</v>
      </c>
      <c r="X32" s="1812"/>
      <c r="Y32" s="3363" t="s">
        <v>2551</v>
      </c>
      <c r="Z32" s="1813" t="str">
        <f t="shared" si="18"/>
        <v>建筑类型</v>
      </c>
      <c r="AA32" s="1810">
        <f t="shared" si="15"/>
        <v>1</v>
      </c>
      <c r="AB32" s="1810">
        <f t="shared" si="16"/>
        <v>1</v>
      </c>
      <c r="AC32" s="1810">
        <f t="shared" si="17"/>
        <v>1</v>
      </c>
    </row>
    <row r="33" spans="1:29" s="471" customFormat="1" ht="15">
      <c r="A33" s="468"/>
      <c r="B33" s="422" t="s">
        <v>2552</v>
      </c>
      <c r="C33" s="469">
        <f>土地信息!D5+土地信息!D3</f>
        <v>195632</v>
      </c>
      <c r="D33" s="136">
        <v>100</v>
      </c>
      <c r="E33" s="430">
        <v>510190.5</v>
      </c>
      <c r="F33" s="425">
        <f>LOOKUP(E33,103:103,104:104)-LOOKUP(C33,103:103,104:104)+100</f>
        <v>104</v>
      </c>
      <c r="G33" s="429">
        <v>80369</v>
      </c>
      <c r="H33" s="136">
        <f>LOOKUP(G33,103:103,104:104)-LOOKUP(C33,103:103,104:104)+100</f>
        <v>96</v>
      </c>
      <c r="I33" s="430">
        <v>108767</v>
      </c>
      <c r="J33" s="136">
        <f>LOOKUP(I33,103:103,104:104)-LOOKUP(C33,103:103,104:104)+100</f>
        <v>98</v>
      </c>
      <c r="K33" s="2597"/>
      <c r="L33" s="1138"/>
      <c r="M33" s="1141"/>
      <c r="N33" s="1141"/>
      <c r="O33" s="1141"/>
      <c r="P33" s="3407"/>
      <c r="Q33" s="776" t="str">
        <f t="shared" si="11"/>
        <v>项目建筑规模</v>
      </c>
      <c r="R33" s="777" t="s">
        <v>21</v>
      </c>
      <c r="S33" s="778">
        <f t="shared" si="12"/>
        <v>104</v>
      </c>
      <c r="T33" s="777" t="s">
        <v>21</v>
      </c>
      <c r="U33" s="778">
        <f t="shared" si="13"/>
        <v>96</v>
      </c>
      <c r="V33" s="777" t="s">
        <v>21</v>
      </c>
      <c r="W33" s="778">
        <f t="shared" si="14"/>
        <v>98</v>
      </c>
      <c r="X33" s="779"/>
      <c r="Y33" s="3363"/>
      <c r="Z33" s="780" t="str">
        <f t="shared" si="18"/>
        <v>项目建筑规模</v>
      </c>
      <c r="AA33" s="1810">
        <f t="shared" si="15"/>
        <v>0.96153846153846156</v>
      </c>
      <c r="AB33" s="1810">
        <f t="shared" si="16"/>
        <v>1.0416666666666667</v>
      </c>
      <c r="AC33" s="1810">
        <f t="shared" si="17"/>
        <v>1.0204081632653061</v>
      </c>
    </row>
    <row r="34" spans="1:29" ht="15">
      <c r="A34" s="472"/>
      <c r="B34" s="422" t="s">
        <v>2553</v>
      </c>
      <c r="C34" s="2615" t="s">
        <v>3804</v>
      </c>
      <c r="D34" s="435">
        <v>100</v>
      </c>
      <c r="E34" s="2615" t="s">
        <v>3804</v>
      </c>
      <c r="F34" s="461">
        <f>SUMIF(105:105,E34,106:106)-SUMIF(105:105,C34,106:106)+100</f>
        <v>100</v>
      </c>
      <c r="G34" s="2615" t="s">
        <v>3804</v>
      </c>
      <c r="H34" s="435">
        <f>SUMIF(105:105,G34,106:106)-SUMIF(105:105,C34,106:106)+100</f>
        <v>100</v>
      </c>
      <c r="I34" s="2615" t="s">
        <v>3804</v>
      </c>
      <c r="J34" s="435">
        <f>SUMIF(105:105,I34,106:106)-SUMIF(105:105,C34,106:106)+100</f>
        <v>100</v>
      </c>
      <c r="K34" s="426">
        <v>5</v>
      </c>
      <c r="L34" s="1140"/>
      <c r="M34" s="1131"/>
      <c r="N34" s="1131"/>
      <c r="O34" s="1131"/>
      <c r="P34" s="3407"/>
      <c r="Q34" s="1809" t="str">
        <f t="shared" si="11"/>
        <v>建筑结构</v>
      </c>
      <c r="R34" s="774" t="s">
        <v>21</v>
      </c>
      <c r="S34" s="775">
        <f t="shared" si="12"/>
        <v>100</v>
      </c>
      <c r="T34" s="774" t="s">
        <v>21</v>
      </c>
      <c r="U34" s="775">
        <f t="shared" si="13"/>
        <v>100</v>
      </c>
      <c r="V34" s="774" t="s">
        <v>21</v>
      </c>
      <c r="W34" s="775">
        <f t="shared" si="14"/>
        <v>100</v>
      </c>
      <c r="X34" s="1812"/>
      <c r="Y34" s="3363"/>
      <c r="Z34" s="1813" t="str">
        <f t="shared" si="18"/>
        <v>建筑结构</v>
      </c>
      <c r="AA34" s="1810">
        <f t="shared" si="15"/>
        <v>1</v>
      </c>
      <c r="AB34" s="1810">
        <f t="shared" si="16"/>
        <v>1</v>
      </c>
      <c r="AC34" s="1810">
        <f t="shared" si="17"/>
        <v>1</v>
      </c>
    </row>
    <row r="35" spans="1:29" ht="15">
      <c r="A35" s="472"/>
      <c r="B35" s="422" t="s">
        <v>2554</v>
      </c>
      <c r="C35" s="2609" t="s">
        <v>3818</v>
      </c>
      <c r="D35" s="435">
        <v>100</v>
      </c>
      <c r="E35" s="2609" t="s">
        <v>3818</v>
      </c>
      <c r="F35" s="461">
        <f>SUMIF(107:107,E35,108:108)-SUMIF(107:107,C35,108:108)+100</f>
        <v>100</v>
      </c>
      <c r="G35" s="2609" t="s">
        <v>3818</v>
      </c>
      <c r="H35" s="435">
        <f>SUMIF(107:107,G35,108:108)-SUMIF(107:107,C35,108:108)+100</f>
        <v>100</v>
      </c>
      <c r="I35" s="2609" t="s">
        <v>3818</v>
      </c>
      <c r="J35" s="435">
        <f>SUMIF(107:107,I35,108:108)-SUMIF(107:107,C35,108:108)+100</f>
        <v>100</v>
      </c>
      <c r="K35" s="426">
        <v>5</v>
      </c>
      <c r="L35" s="1140"/>
      <c r="M35" s="1131"/>
      <c r="N35" s="1131"/>
      <c r="O35" s="1131"/>
      <c r="P35" s="3407"/>
      <c r="Q35" s="1809" t="str">
        <f t="shared" si="11"/>
        <v>建筑品质</v>
      </c>
      <c r="R35" s="774" t="s">
        <v>21</v>
      </c>
      <c r="S35" s="775">
        <f t="shared" si="12"/>
        <v>100</v>
      </c>
      <c r="T35" s="774" t="s">
        <v>21</v>
      </c>
      <c r="U35" s="775">
        <f t="shared" si="13"/>
        <v>100</v>
      </c>
      <c r="V35" s="774" t="s">
        <v>21</v>
      </c>
      <c r="W35" s="775">
        <f t="shared" si="14"/>
        <v>100</v>
      </c>
      <c r="X35" s="1812"/>
      <c r="Y35" s="3363"/>
      <c r="Z35" s="1813" t="str">
        <f t="shared" si="18"/>
        <v>建筑品质</v>
      </c>
      <c r="AA35" s="1810">
        <f t="shared" si="15"/>
        <v>1</v>
      </c>
      <c r="AB35" s="1810">
        <f t="shared" si="16"/>
        <v>1</v>
      </c>
      <c r="AC35" s="1810">
        <f t="shared" si="17"/>
        <v>1</v>
      </c>
    </row>
    <row r="36" spans="1:29" ht="15">
      <c r="A36" s="472"/>
      <c r="B36" s="422" t="s">
        <v>2555</v>
      </c>
      <c r="C36" s="2609" t="s">
        <v>3819</v>
      </c>
      <c r="D36" s="435">
        <v>100</v>
      </c>
      <c r="E36" s="2609" t="s">
        <v>3819</v>
      </c>
      <c r="F36" s="461">
        <f>SUMIF(109:109,E36,110:110)-SUMIF(109:109,C36,110:110)+100</f>
        <v>100</v>
      </c>
      <c r="G36" s="2609" t="s">
        <v>3819</v>
      </c>
      <c r="H36" s="435">
        <f>SUMIF(109:109,G36,110:110)-SUMIF(109:109,C36,110:110)+100</f>
        <v>100</v>
      </c>
      <c r="I36" s="2609" t="s">
        <v>3819</v>
      </c>
      <c r="J36" s="435">
        <f>SUMIF(109:109,I36,110:110)-SUMIF(109:109,C36,110:110)+100</f>
        <v>100</v>
      </c>
      <c r="K36" s="426">
        <v>3</v>
      </c>
      <c r="L36" s="1140"/>
      <c r="M36" s="1131"/>
      <c r="N36" s="1131"/>
      <c r="O36" s="1131"/>
      <c r="P36" s="3407"/>
      <c r="Q36" s="1809" t="str">
        <f t="shared" si="11"/>
        <v>公共部分装修</v>
      </c>
      <c r="R36" s="774" t="s">
        <v>21</v>
      </c>
      <c r="S36" s="775">
        <f t="shared" si="12"/>
        <v>100</v>
      </c>
      <c r="T36" s="774" t="s">
        <v>21</v>
      </c>
      <c r="U36" s="775">
        <f t="shared" si="13"/>
        <v>100</v>
      </c>
      <c r="V36" s="774" t="s">
        <v>21</v>
      </c>
      <c r="W36" s="775">
        <f t="shared" si="14"/>
        <v>100</v>
      </c>
      <c r="X36" s="1812"/>
      <c r="Y36" s="3363"/>
      <c r="Z36" s="1813" t="str">
        <f t="shared" si="18"/>
        <v>公共部分装修</v>
      </c>
      <c r="AA36" s="1810">
        <f t="shared" si="15"/>
        <v>1</v>
      </c>
      <c r="AB36" s="1810">
        <f t="shared" si="16"/>
        <v>1</v>
      </c>
      <c r="AC36" s="1810">
        <f t="shared" si="17"/>
        <v>1</v>
      </c>
    </row>
    <row r="37" spans="1:29" s="117" customFormat="1" ht="15" hidden="1">
      <c r="A37" s="473"/>
      <c r="B37" s="422" t="s">
        <v>2556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c r="L37" s="1132"/>
      <c r="M37" s="1133"/>
      <c r="N37" s="1133"/>
      <c r="O37" s="1133"/>
      <c r="P37" s="3407"/>
      <c r="Q37" s="1794" t="str">
        <f t="shared" si="11"/>
        <v>成新度</v>
      </c>
      <c r="R37" s="770" t="s">
        <v>21</v>
      </c>
      <c r="S37" s="771">
        <f t="shared" si="12"/>
        <v>100</v>
      </c>
      <c r="T37" s="770" t="s">
        <v>21</v>
      </c>
      <c r="U37" s="771">
        <f t="shared" si="13"/>
        <v>100</v>
      </c>
      <c r="V37" s="770" t="s">
        <v>21</v>
      </c>
      <c r="W37" s="771">
        <f t="shared" si="14"/>
        <v>100</v>
      </c>
      <c r="X37" s="772"/>
      <c r="Y37" s="3363"/>
      <c r="Z37" s="55" t="str">
        <f t="shared" si="18"/>
        <v>成新度</v>
      </c>
      <c r="AA37" s="773">
        <f t="shared" si="15"/>
        <v>1</v>
      </c>
      <c r="AB37" s="773">
        <f t="shared" si="16"/>
        <v>1</v>
      </c>
      <c r="AC37" s="773">
        <f t="shared" si="17"/>
        <v>1</v>
      </c>
    </row>
    <row r="38" spans="1:29" ht="15">
      <c r="A38" s="472"/>
      <c r="B38" s="422" t="s">
        <v>2557</v>
      </c>
      <c r="C38" s="2609" t="s">
        <v>3820</v>
      </c>
      <c r="D38" s="435">
        <v>100</v>
      </c>
      <c r="E38" s="2609" t="s">
        <v>3820</v>
      </c>
      <c r="F38" s="461">
        <f>SUMIF(114:114,E38,115:115)-SUMIF(114:114,C38,115:115)+100</f>
        <v>100</v>
      </c>
      <c r="G38" s="2609" t="s">
        <v>3820</v>
      </c>
      <c r="H38" s="435">
        <f>SUMIF(114:114,G38,115:115)-SUMIF(114:114,C38,115:115)+100</f>
        <v>100</v>
      </c>
      <c r="I38" s="2609" t="s">
        <v>3820</v>
      </c>
      <c r="J38" s="435">
        <f>SUMIF(114:114,I38,115:115)-SUMIF(114:114,C38,115:115)+100</f>
        <v>100</v>
      </c>
      <c r="K38" s="426">
        <v>3</v>
      </c>
      <c r="L38" s="1140"/>
      <c r="M38" s="1131"/>
      <c r="N38" s="1131"/>
      <c r="O38" s="1131"/>
      <c r="P38" s="3407" t="s">
        <v>2551</v>
      </c>
      <c r="Q38" s="1809" t="str">
        <f t="shared" si="11"/>
        <v>物业管理</v>
      </c>
      <c r="R38" s="774" t="s">
        <v>21</v>
      </c>
      <c r="S38" s="775">
        <f t="shared" si="12"/>
        <v>100</v>
      </c>
      <c r="T38" s="774" t="s">
        <v>21</v>
      </c>
      <c r="U38" s="775">
        <f t="shared" si="13"/>
        <v>100</v>
      </c>
      <c r="V38" s="774" t="s">
        <v>21</v>
      </c>
      <c r="W38" s="775">
        <f t="shared" si="14"/>
        <v>100</v>
      </c>
      <c r="X38" s="1812"/>
      <c r="Y38" s="3363" t="s">
        <v>2551</v>
      </c>
      <c r="Z38" s="1813" t="str">
        <f t="shared" si="18"/>
        <v>物业管理</v>
      </c>
      <c r="AA38" s="1810">
        <f t="shared" si="15"/>
        <v>1</v>
      </c>
      <c r="AB38" s="1810">
        <f t="shared" si="16"/>
        <v>1</v>
      </c>
      <c r="AC38" s="1810">
        <f t="shared" si="17"/>
        <v>1</v>
      </c>
    </row>
    <row r="39" spans="1:29" ht="15">
      <c r="A39" s="472"/>
      <c r="B39" s="422" t="s">
        <v>2558</v>
      </c>
      <c r="C39" s="2609" t="s">
        <v>3780</v>
      </c>
      <c r="D39" s="435">
        <v>100</v>
      </c>
      <c r="E39" s="2609" t="s">
        <v>3780</v>
      </c>
      <c r="F39" s="461">
        <f>SUMIF(116:116,E39,117:117)-SUMIF(116:116,C39,117:117)+100</f>
        <v>100</v>
      </c>
      <c r="G39" s="2609" t="s">
        <v>3780</v>
      </c>
      <c r="H39" s="435">
        <f>SUMIF(116:116,G39,117:117)-SUMIF(116:116,C39,117:117)+100</f>
        <v>100</v>
      </c>
      <c r="I39" s="2609" t="s">
        <v>3780</v>
      </c>
      <c r="J39" s="435">
        <f>SUMIF(116:116,I39,117:117)-SUMIF(116:116,C39,117:117)+100</f>
        <v>100</v>
      </c>
      <c r="K39" s="426">
        <v>2</v>
      </c>
      <c r="L39" s="1140"/>
      <c r="M39" s="1131"/>
      <c r="N39" s="1131"/>
      <c r="O39" s="1131"/>
      <c r="P39" s="3407"/>
      <c r="Q39" s="1809" t="str">
        <f t="shared" si="11"/>
        <v>市政基础设施</v>
      </c>
      <c r="R39" s="774" t="s">
        <v>21</v>
      </c>
      <c r="S39" s="775">
        <f t="shared" si="12"/>
        <v>100</v>
      </c>
      <c r="T39" s="774" t="s">
        <v>21</v>
      </c>
      <c r="U39" s="775">
        <f t="shared" si="13"/>
        <v>100</v>
      </c>
      <c r="V39" s="774" t="s">
        <v>21</v>
      </c>
      <c r="W39" s="775">
        <f t="shared" si="14"/>
        <v>100</v>
      </c>
      <c r="X39" s="1812"/>
      <c r="Y39" s="3363"/>
      <c r="Z39" s="1813" t="str">
        <f t="shared" si="18"/>
        <v>市政基础设施</v>
      </c>
      <c r="AA39" s="1810">
        <f t="shared" si="15"/>
        <v>1</v>
      </c>
      <c r="AB39" s="1810">
        <f t="shared" si="16"/>
        <v>1</v>
      </c>
      <c r="AC39" s="1810">
        <f t="shared" si="17"/>
        <v>1</v>
      </c>
    </row>
    <row r="40" spans="1:29" ht="15" hidden="1">
      <c r="A40" s="472"/>
      <c r="B40" s="422" t="s">
        <v>2559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407"/>
      <c r="Q40" s="1809" t="str">
        <f t="shared" si="11"/>
        <v>房型</v>
      </c>
      <c r="R40" s="774" t="s">
        <v>21</v>
      </c>
      <c r="S40" s="775">
        <f t="shared" si="12"/>
        <v>100</v>
      </c>
      <c r="T40" s="774" t="s">
        <v>21</v>
      </c>
      <c r="U40" s="775">
        <f t="shared" si="13"/>
        <v>100</v>
      </c>
      <c r="V40" s="774" t="s">
        <v>21</v>
      </c>
      <c r="W40" s="775">
        <f t="shared" si="14"/>
        <v>100</v>
      </c>
      <c r="X40" s="1812"/>
      <c r="Y40" s="3363"/>
      <c r="Z40" s="1813" t="str">
        <f t="shared" si="18"/>
        <v>房型</v>
      </c>
      <c r="AA40" s="1810">
        <f t="shared" si="15"/>
        <v>1</v>
      </c>
      <c r="AB40" s="1810">
        <f t="shared" si="16"/>
        <v>1</v>
      </c>
      <c r="AC40" s="1810">
        <f t="shared" si="17"/>
        <v>1</v>
      </c>
    </row>
    <row r="41" spans="1:29" s="471" customFormat="1" ht="28.5" hidden="1">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407"/>
      <c r="Q41" s="776" t="str">
        <f t="shared" si="11"/>
        <v>单套/主力户型建筑面积</v>
      </c>
      <c r="R41" s="777" t="s">
        <v>21</v>
      </c>
      <c r="S41" s="778">
        <f t="shared" si="12"/>
        <v>100</v>
      </c>
      <c r="T41" s="777" t="s">
        <v>21</v>
      </c>
      <c r="U41" s="778">
        <f t="shared" si="13"/>
        <v>100</v>
      </c>
      <c r="V41" s="777" t="s">
        <v>21</v>
      </c>
      <c r="W41" s="778">
        <f t="shared" si="14"/>
        <v>100</v>
      </c>
      <c r="X41" s="779"/>
      <c r="Y41" s="3363"/>
      <c r="Z41" s="780" t="str">
        <f t="shared" si="18"/>
        <v>单套/主力户型建筑面积</v>
      </c>
      <c r="AA41" s="1810">
        <f t="shared" si="15"/>
        <v>1</v>
      </c>
      <c r="AB41" s="1810">
        <f t="shared" si="16"/>
        <v>1</v>
      </c>
      <c r="AC41" s="1810">
        <f t="shared" si="17"/>
        <v>1</v>
      </c>
    </row>
    <row r="42" spans="1:29" ht="15.75" thickBot="1">
      <c r="A42" s="472"/>
      <c r="B42" s="422" t="s">
        <v>2561</v>
      </c>
      <c r="C42" s="2609" t="s">
        <v>3822</v>
      </c>
      <c r="D42" s="435">
        <v>100</v>
      </c>
      <c r="E42" s="2610" t="s">
        <v>3819</v>
      </c>
      <c r="F42" s="461">
        <f>SUMIF(122:122,E42,123:123)-SUMIF(122:122,C42,123:123)+100</f>
        <v>108</v>
      </c>
      <c r="G42" s="2609" t="s">
        <v>3819</v>
      </c>
      <c r="H42" s="435">
        <f>SUMIF(122:122,G42,123:123)-SUMIF(122:122,C42,123:123)+100</f>
        <v>108</v>
      </c>
      <c r="I42" s="2610" t="s">
        <v>3822</v>
      </c>
      <c r="J42" s="435">
        <f>SUMIF(122:122,I42,123:123)-SUMIF(122:122,C42,123:123)+100</f>
        <v>100</v>
      </c>
      <c r="K42" s="426">
        <v>4</v>
      </c>
      <c r="L42" s="1140"/>
      <c r="M42" s="1131"/>
      <c r="N42" s="1131"/>
      <c r="O42" s="1131"/>
      <c r="P42" s="3407"/>
      <c r="Q42" s="1809" t="str">
        <f t="shared" si="11"/>
        <v>内部装修</v>
      </c>
      <c r="R42" s="774" t="s">
        <v>21</v>
      </c>
      <c r="S42" s="775">
        <f t="shared" si="12"/>
        <v>108</v>
      </c>
      <c r="T42" s="774" t="s">
        <v>21</v>
      </c>
      <c r="U42" s="775">
        <f t="shared" si="13"/>
        <v>108</v>
      </c>
      <c r="V42" s="774" t="s">
        <v>21</v>
      </c>
      <c r="W42" s="775">
        <f t="shared" si="14"/>
        <v>100</v>
      </c>
      <c r="X42" s="1812"/>
      <c r="Y42" s="3363"/>
      <c r="Z42" s="1813" t="str">
        <f t="shared" si="18"/>
        <v>内部装修</v>
      </c>
      <c r="AA42" s="1810">
        <f t="shared" si="15"/>
        <v>0.92592592592592593</v>
      </c>
      <c r="AB42" s="1810">
        <f t="shared" si="16"/>
        <v>0.92592592592592593</v>
      </c>
      <c r="AC42" s="1810">
        <f t="shared" si="17"/>
        <v>1</v>
      </c>
    </row>
    <row r="43" spans="1:29" ht="15" hidden="1">
      <c r="A43" s="472"/>
      <c r="B43" s="422" t="s">
        <v>2562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407"/>
      <c r="Q43" s="1809" t="str">
        <f t="shared" si="11"/>
        <v>内部装修维护情况</v>
      </c>
      <c r="R43" s="774" t="s">
        <v>21</v>
      </c>
      <c r="S43" s="775">
        <f t="shared" si="12"/>
        <v>100</v>
      </c>
      <c r="T43" s="774" t="s">
        <v>21</v>
      </c>
      <c r="U43" s="775">
        <f t="shared" si="13"/>
        <v>100</v>
      </c>
      <c r="V43" s="774" t="s">
        <v>21</v>
      </c>
      <c r="W43" s="775">
        <f t="shared" si="14"/>
        <v>100</v>
      </c>
      <c r="X43" s="1812"/>
      <c r="Y43" s="3363"/>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407"/>
      <c r="Q44" s="1794">
        <f t="shared" si="11"/>
        <v>111</v>
      </c>
      <c r="R44" s="770" t="s">
        <v>21</v>
      </c>
      <c r="S44" s="771">
        <f t="shared" si="12"/>
        <v>100</v>
      </c>
      <c r="T44" s="770" t="s">
        <v>21</v>
      </c>
      <c r="U44" s="771">
        <f t="shared" si="13"/>
        <v>100</v>
      </c>
      <c r="V44" s="770" t="s">
        <v>21</v>
      </c>
      <c r="W44" s="771">
        <f t="shared" si="14"/>
        <v>100</v>
      </c>
      <c r="X44" s="772"/>
      <c r="Y44" s="3363"/>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407"/>
      <c r="Q45" s="1809">
        <f t="shared" si="11"/>
        <v>111</v>
      </c>
      <c r="R45" s="774" t="s">
        <v>21</v>
      </c>
      <c r="S45" s="775">
        <f t="shared" si="12"/>
        <v>100</v>
      </c>
      <c r="T45" s="774" t="s">
        <v>21</v>
      </c>
      <c r="U45" s="775">
        <f t="shared" si="13"/>
        <v>100</v>
      </c>
      <c r="V45" s="774" t="s">
        <v>21</v>
      </c>
      <c r="W45" s="775">
        <f t="shared" si="14"/>
        <v>100</v>
      </c>
      <c r="X45" s="1812"/>
      <c r="Y45" s="3363"/>
      <c r="Z45" s="1813">
        <f t="shared" si="18"/>
        <v>111</v>
      </c>
      <c r="AA45" s="1810">
        <f t="shared" si="15"/>
        <v>1</v>
      </c>
      <c r="AB45" s="1810">
        <f t="shared" si="16"/>
        <v>1</v>
      </c>
      <c r="AC45" s="1810">
        <f t="shared" si="17"/>
        <v>1</v>
      </c>
    </row>
    <row r="46" spans="1:29" ht="15.75" hidden="1"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408"/>
      <c r="Q46" s="1809">
        <f t="shared" si="11"/>
        <v>111</v>
      </c>
      <c r="R46" s="774" t="s">
        <v>20</v>
      </c>
      <c r="S46" s="775">
        <f t="shared" si="12"/>
        <v>100</v>
      </c>
      <c r="T46" s="774" t="s">
        <v>20</v>
      </c>
      <c r="U46" s="775">
        <f t="shared" si="13"/>
        <v>100</v>
      </c>
      <c r="V46" s="774" t="s">
        <v>20</v>
      </c>
      <c r="W46" s="775">
        <f t="shared" si="14"/>
        <v>100</v>
      </c>
      <c r="X46" s="1812"/>
      <c r="Y46" s="3409"/>
      <c r="Z46" s="1813">
        <f t="shared" si="18"/>
        <v>111</v>
      </c>
      <c r="AA46" s="1810">
        <f t="shared" si="15"/>
        <v>1</v>
      </c>
      <c r="AB46" s="1810">
        <f t="shared" si="16"/>
        <v>1</v>
      </c>
      <c r="AC46" s="1810">
        <f t="shared" si="17"/>
        <v>1</v>
      </c>
    </row>
    <row r="47" spans="1:29" ht="15">
      <c r="A47" s="479" t="s">
        <v>2563</v>
      </c>
      <c r="B47" s="480"/>
      <c r="C47" s="1407" t="s">
        <v>19</v>
      </c>
      <c r="D47" s="1408"/>
      <c r="E47" s="1409">
        <v>24000</v>
      </c>
      <c r="F47" s="1410"/>
      <c r="G47" s="1411">
        <v>24000</v>
      </c>
      <c r="H47" s="1412"/>
      <c r="I47" s="1409">
        <v>23000</v>
      </c>
      <c r="J47" s="1412"/>
      <c r="K47" s="2616"/>
      <c r="L47" s="1143"/>
      <c r="M47" s="1144"/>
      <c r="N47" s="1131"/>
      <c r="O47" s="1144"/>
      <c r="P47" s="3345" t="str">
        <f>A47</f>
        <v>成交单价（元/平方米）</v>
      </c>
      <c r="Q47" s="3345"/>
      <c r="R47" s="3405">
        <f>E47</f>
        <v>24000</v>
      </c>
      <c r="S47" s="3405"/>
      <c r="T47" s="3405">
        <f>G47</f>
        <v>24000</v>
      </c>
      <c r="U47" s="3405"/>
      <c r="V47" s="3405">
        <f>I47</f>
        <v>23000</v>
      </c>
      <c r="W47" s="3405"/>
      <c r="X47" s="759"/>
      <c r="Y47" s="781"/>
      <c r="Z47" s="759"/>
      <c r="AA47" s="759"/>
      <c r="AB47" s="759"/>
      <c r="AC47" s="759"/>
    </row>
    <row r="48" spans="1:29" ht="15.75" thickBot="1">
      <c r="A48" s="486" t="s">
        <v>2564</v>
      </c>
      <c r="B48" s="487"/>
      <c r="C48" s="1413">
        <f>R49</f>
        <v>23987</v>
      </c>
      <c r="D48" s="1414"/>
      <c r="E48" s="1415">
        <f>R48</f>
        <v>22060</v>
      </c>
      <c r="F48" s="1415"/>
      <c r="G48" s="1413">
        <f>T48</f>
        <v>26156</v>
      </c>
      <c r="H48" s="1414"/>
      <c r="I48" s="1415">
        <f>V48</f>
        <v>23745</v>
      </c>
      <c r="J48" s="1414"/>
      <c r="K48" s="2617"/>
      <c r="L48" s="1143"/>
      <c r="M48" s="1144"/>
      <c r="N48" s="1144"/>
      <c r="O48" s="1144"/>
      <c r="P48" s="3345" t="str">
        <f>A48</f>
        <v>比较价值（元/平方米）</v>
      </c>
      <c r="Q48" s="3345"/>
      <c r="R48" s="3405">
        <f>IF(F1="售价",ROUND(PRODUCT(R47,AA7:AA46),0),ROUND(PRODUCT(R47,AA7:AA46),1))</f>
        <v>22060</v>
      </c>
      <c r="S48" s="3405"/>
      <c r="T48" s="3405">
        <f>IF(F1="售价",ROUND(PRODUCT(T47,AB7:AB46),0),ROUND(PRODUCT(T47,AB7:AB46),1))</f>
        <v>26156</v>
      </c>
      <c r="U48" s="3405"/>
      <c r="V48" s="3405">
        <f>IF(F1="售价",ROUND(PRODUCT(V47,AC7:AC46),0),ROUND(PRODUCT(V47,AC7:AC46),1))</f>
        <v>23745</v>
      </c>
      <c r="W48" s="3405"/>
      <c r="X48" s="759"/>
      <c r="Y48" s="759"/>
      <c r="Z48" s="759"/>
      <c r="AA48" s="759"/>
      <c r="AB48" s="759"/>
      <c r="AC48" s="759"/>
    </row>
    <row r="49" spans="1:29" ht="15.75" thickBot="1">
      <c r="A49" s="492" t="s">
        <v>3813</v>
      </c>
      <c r="B49" s="493"/>
      <c r="C49" s="1416">
        <f>R49</f>
        <v>23987</v>
      </c>
      <c r="D49" s="1417"/>
      <c r="E49" s="1417"/>
      <c r="F49" s="1417"/>
      <c r="G49" s="1417"/>
      <c r="H49" s="1417"/>
      <c r="I49" s="1417"/>
      <c r="J49" s="1417"/>
      <c r="K49" s="2618"/>
      <c r="L49" s="1143"/>
      <c r="M49" s="1144"/>
      <c r="N49" s="1144"/>
      <c r="O49" s="1144"/>
      <c r="P49" s="3365" t="str">
        <f>A49</f>
        <v>估价对象小高层用房的比较价值（楼面单价，元/平方米）</v>
      </c>
      <c r="Q49" s="3366"/>
      <c r="R49" s="3404">
        <f>IF(F1="售价",ROUND(AVERAGE(R48:V48),0),ROUND(AVERAGE(R48:V48),1))</f>
        <v>23987</v>
      </c>
      <c r="S49" s="3404"/>
      <c r="T49" s="3404"/>
      <c r="U49" s="3404"/>
      <c r="V49" s="3404"/>
      <c r="W49" s="34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f>IF(E47&lt;E48,E48/E47-1,E47/E48-1)</f>
        <v>8.7941976427923896E-2</v>
      </c>
      <c r="F52" s="500" t="str">
        <f>IF(OR(E52&gt;=0.3,E52&lt;=-0.3),"超过30%","")</f>
        <v/>
      </c>
      <c r="G52" s="499">
        <f>IF(G47&lt;G48,G48/G47-1,G47/G48-1)</f>
        <v>8.9833333333333432E-2</v>
      </c>
      <c r="H52" s="500" t="str">
        <f>IF(OR(G52&gt;=0.3,G52&lt;=-0.3),"超过30%","")</f>
        <v/>
      </c>
      <c r="I52" s="499">
        <f>IF(I47&lt;I48,I48/I47-1,I47/I48-1)</f>
        <v>3.2391304347826111E-2</v>
      </c>
      <c r="J52" s="500" t="str">
        <f>IF(OR(I52&gt;=0.3,I52&lt;=-0.3),"超过30%","")</f>
        <v/>
      </c>
      <c r="K52" s="1105"/>
      <c r="L52" s="1106"/>
      <c r="M52" s="1144"/>
      <c r="N52" s="1144"/>
      <c r="O52" s="1144"/>
    </row>
    <row r="53" spans="1:29" ht="13.5" customHeight="1">
      <c r="A53" s="1144"/>
      <c r="B53" s="1144"/>
      <c r="C53" s="497" t="s">
        <v>2566</v>
      </c>
      <c r="D53" s="501"/>
      <c r="E53" s="499">
        <f>IF(E48&lt;G48,G48/E48-1,E48/G48-1)</f>
        <v>0.18567543064369896</v>
      </c>
      <c r="F53" s="500" t="str">
        <f>IF(OR(E53&gt;=0.2,E53&lt;=-0.2),"超过20%","")</f>
        <v/>
      </c>
      <c r="G53" s="499">
        <f>IF(G48&lt;I48,I48/G48-1,G48/I48-1)</f>
        <v>0.10153716571909865</v>
      </c>
      <c r="H53" s="500" t="str">
        <f>IF(OR(G53&gt;=0.2,G53&lt;=-0.2),"超过20%","")</f>
        <v/>
      </c>
      <c r="I53" s="499">
        <f>IF(I48&lt;E48,E48/I48-1,I48/E48-1)</f>
        <v>7.6382592928377235E-2</v>
      </c>
      <c r="J53" s="500" t="str">
        <f>IF(OR(I53&gt;=0.2,I53&lt;=-0.2),"超过20%","")</f>
        <v/>
      </c>
      <c r="K53" s="1105"/>
      <c r="L53" s="1106"/>
      <c r="M53" s="1144"/>
      <c r="N53" s="1144"/>
      <c r="O53" s="1144"/>
    </row>
    <row r="54" spans="1:29" s="502" customFormat="1" ht="13.5" customHeight="1">
      <c r="A54" s="1145"/>
      <c r="B54" s="1145"/>
      <c r="C54" s="497" t="s">
        <v>2567</v>
      </c>
      <c r="D54" s="501"/>
      <c r="E54" s="499">
        <f>IF(E47&lt;G47,G47/E47-1,E47/G47-1)</f>
        <v>0</v>
      </c>
      <c r="F54" s="500" t="str">
        <f>IF(OR(E54&gt;=0.3,E54&lt;=-0.3),"超过30%","")</f>
        <v/>
      </c>
      <c r="G54" s="499">
        <f>IF(G47&lt;I47,I47/G47-1,G47/I47-1)</f>
        <v>4.3478260869565188E-2</v>
      </c>
      <c r="H54" s="500" t="str">
        <f>IF(OR(G54&gt;=0.3,G54&lt;=-0.3),"超过30%","")</f>
        <v/>
      </c>
      <c r="I54" s="499">
        <f>IF(I47&lt;E47,E47/I47-1,I47/E47-1)</f>
        <v>4.3478260869565188E-2</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1"/>
      <c r="Q57" s="504"/>
    </row>
    <row r="58" spans="1:29" s="508" customFormat="1" ht="15">
      <c r="A58" s="505" t="s">
        <v>2569</v>
      </c>
      <c r="B58" s="506"/>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2570</v>
      </c>
      <c r="B60" s="516"/>
      <c r="C60" s="517"/>
      <c r="D60" s="518"/>
      <c r="E60" s="518"/>
      <c r="F60" s="518"/>
      <c r="G60" s="518"/>
      <c r="H60" s="518"/>
      <c r="I60" s="518"/>
      <c r="J60" s="518"/>
      <c r="K60" s="518"/>
      <c r="L60" s="518"/>
      <c r="M60" s="519"/>
      <c r="N60" s="518"/>
      <c r="O60" s="519"/>
      <c r="P60" s="2623"/>
      <c r="Q60" s="504"/>
    </row>
    <row r="61" spans="1:29" s="117" customFormat="1" ht="15">
      <c r="A61" s="521" t="s">
        <v>2571</v>
      </c>
      <c r="B61" s="510"/>
      <c r="C61" s="522" t="s">
        <v>2572</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2573</v>
      </c>
      <c r="B63" s="528" t="s">
        <v>2540</v>
      </c>
      <c r="C63" s="529" t="str">
        <f>C9</f>
        <v>住宅</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2574</v>
      </c>
      <c r="D65" s="539" t="s">
        <v>2575</v>
      </c>
      <c r="E65" s="539" t="s">
        <v>2576</v>
      </c>
      <c r="F65" s="539" t="s">
        <v>2577</v>
      </c>
      <c r="G65" s="539" t="s">
        <v>2578</v>
      </c>
      <c r="H65" s="539" t="s">
        <v>2579</v>
      </c>
      <c r="I65" s="539" t="s">
        <v>2580</v>
      </c>
      <c r="J65" s="539"/>
      <c r="K65" s="540"/>
      <c r="L65" s="541"/>
      <c r="M65" s="542"/>
      <c r="N65" s="1152"/>
      <c r="O65" s="1152"/>
      <c r="P65" s="2625"/>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5"/>
      <c r="Q66" s="504"/>
    </row>
    <row r="67" spans="1:17" ht="15.75" thickTop="1">
      <c r="A67" s="534"/>
      <c r="B67" s="546" t="s">
        <v>2544</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v>0</v>
      </c>
      <c r="D68" s="549">
        <v>1</v>
      </c>
      <c r="E68" s="549">
        <v>2</v>
      </c>
      <c r="F68" s="549">
        <v>3</v>
      </c>
      <c r="G68" s="549">
        <v>4</v>
      </c>
      <c r="H68" s="549">
        <v>5</v>
      </c>
      <c r="I68" s="549"/>
      <c r="J68" s="549"/>
      <c r="K68" s="550"/>
      <c r="L68" s="551"/>
      <c r="M68" s="552"/>
      <c r="N68" s="1152"/>
      <c r="O68" s="1152"/>
      <c r="P68" s="2625"/>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5"/>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6"/>
      <c r="Q70" s="559"/>
    </row>
    <row r="71" spans="1:17" s="471" customFormat="1" ht="15.75" hidden="1" thickBot="1">
      <c r="A71" s="553"/>
      <c r="B71" s="543"/>
      <c r="C71" s="560"/>
      <c r="D71" s="536"/>
      <c r="E71" s="536"/>
      <c r="F71" s="536"/>
      <c r="G71" s="536"/>
      <c r="H71" s="536"/>
      <c r="I71" s="536"/>
      <c r="J71" s="536"/>
      <c r="K71" s="536"/>
      <c r="L71" s="536"/>
      <c r="M71" s="537"/>
      <c r="N71" s="1153"/>
      <c r="O71" s="1153"/>
      <c r="P71" s="2626"/>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27"/>
      <c r="Q72" s="561"/>
    </row>
    <row r="73" spans="1:17" s="471" customFormat="1" ht="15.75" hidden="1" thickBot="1">
      <c r="A73" s="553"/>
      <c r="B73" s="543"/>
      <c r="C73" s="560"/>
      <c r="D73" s="560"/>
      <c r="E73" s="560"/>
      <c r="F73" s="560"/>
      <c r="G73" s="560"/>
      <c r="H73" s="562"/>
      <c r="I73" s="562"/>
      <c r="J73" s="562"/>
      <c r="K73" s="562"/>
      <c r="L73" s="562"/>
      <c r="M73" s="563"/>
      <c r="N73" s="1154"/>
      <c r="O73" s="1154"/>
      <c r="P73" s="2626"/>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28"/>
      <c r="Q74" s="559"/>
    </row>
    <row r="75" spans="1:17" s="471" customFormat="1" ht="15.75" hidden="1" thickBot="1">
      <c r="A75" s="568"/>
      <c r="B75" s="569"/>
      <c r="C75" s="570"/>
      <c r="D75" s="570"/>
      <c r="E75" s="570"/>
      <c r="F75" s="570"/>
      <c r="G75" s="570"/>
      <c r="H75" s="571"/>
      <c r="I75" s="571"/>
      <c r="J75" s="571"/>
      <c r="K75" s="571"/>
      <c r="L75" s="571"/>
      <c r="M75" s="572"/>
      <c r="N75" s="1154"/>
      <c r="O75" s="1154"/>
      <c r="P75" s="2626"/>
      <c r="Q75" s="559"/>
    </row>
    <row r="76" spans="1:17" ht="15" thickTop="1">
      <c r="A76" s="527" t="s">
        <v>2545</v>
      </c>
      <c r="B76" s="528" t="s">
        <v>2581</v>
      </c>
      <c r="C76" s="573" t="s">
        <v>2582</v>
      </c>
      <c r="D76" s="573" t="s">
        <v>2583</v>
      </c>
      <c r="E76" s="573" t="s">
        <v>2584</v>
      </c>
      <c r="F76" s="573" t="s">
        <v>2585</v>
      </c>
      <c r="G76" s="573" t="s">
        <v>2586</v>
      </c>
      <c r="H76" s="529"/>
      <c r="I76" s="529"/>
      <c r="J76" s="529"/>
      <c r="K76" s="574"/>
      <c r="L76" s="575"/>
      <c r="M76" s="576"/>
      <c r="N76" s="1152"/>
      <c r="O76" s="1152"/>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5"/>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5"/>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25"/>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2089</v>
      </c>
      <c r="C82" s="539" t="s">
        <v>2589</v>
      </c>
      <c r="D82" s="539" t="s">
        <v>2590</v>
      </c>
      <c r="E82" s="539" t="s">
        <v>2591</v>
      </c>
      <c r="F82" s="539" t="s">
        <v>2592</v>
      </c>
      <c r="G82" s="539" t="s">
        <v>2593</v>
      </c>
      <c r="H82" s="539"/>
      <c r="I82" s="539"/>
      <c r="J82" s="539"/>
      <c r="K82" s="539"/>
      <c r="L82" s="539"/>
      <c r="M82" s="1382"/>
      <c r="N82" s="1153"/>
      <c r="O82" s="1153"/>
      <c r="P82" s="262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5"/>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hidden="1" thickTop="1">
      <c r="A86" s="579"/>
      <c r="B86" s="538" t="s">
        <v>2595</v>
      </c>
      <c r="C86" s="554"/>
      <c r="D86" s="554"/>
      <c r="E86" s="554"/>
      <c r="F86" s="554"/>
      <c r="G86" s="554"/>
      <c r="H86" s="554"/>
      <c r="I86" s="554"/>
      <c r="J86" s="554"/>
      <c r="K86" s="554"/>
      <c r="L86" s="580"/>
      <c r="M86" s="581"/>
      <c r="N86" s="1151"/>
      <c r="O86" s="1151"/>
      <c r="P86" s="262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hidden="1" thickTop="1">
      <c r="A88" s="579"/>
      <c r="B88" s="538" t="s">
        <v>2596</v>
      </c>
      <c r="C88" s="554"/>
      <c r="D88" s="554"/>
      <c r="E88" s="554"/>
      <c r="F88" s="2630"/>
      <c r="G88" s="554"/>
      <c r="H88" s="554"/>
      <c r="I88" s="554"/>
      <c r="J88" s="554"/>
      <c r="K88" s="554"/>
      <c r="L88" s="554"/>
      <c r="M88" s="581"/>
      <c r="N88" s="1151"/>
      <c r="O88" s="1151"/>
      <c r="P88" s="2625"/>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t="str">
        <f>B27</f>
        <v>道路级别</v>
      </c>
      <c r="C90" s="2983" t="s">
        <v>3795</v>
      </c>
      <c r="D90" s="2983" t="s">
        <v>3776</v>
      </c>
      <c r="E90" s="2983" t="s">
        <v>3796</v>
      </c>
      <c r="F90" s="554"/>
      <c r="G90" s="554"/>
      <c r="H90" s="555"/>
      <c r="I90" s="555"/>
      <c r="J90" s="555"/>
      <c r="K90" s="555"/>
      <c r="L90" s="556"/>
      <c r="M90" s="557"/>
      <c r="N90" s="1154"/>
      <c r="O90" s="1154"/>
      <c r="P90" s="2626"/>
      <c r="Q90" s="559"/>
    </row>
    <row r="91" spans="1:17" s="471" customFormat="1" ht="15.75" thickBot="1">
      <c r="A91" s="553"/>
      <c r="B91" s="543"/>
      <c r="C91" s="560">
        <v>100</v>
      </c>
      <c r="D91" s="560">
        <v>98</v>
      </c>
      <c r="E91" s="560">
        <v>96</v>
      </c>
      <c r="F91" s="560"/>
      <c r="G91" s="560"/>
      <c r="H91" s="562"/>
      <c r="I91" s="562"/>
      <c r="J91" s="562"/>
      <c r="K91" s="562"/>
      <c r="L91" s="562"/>
      <c r="M91" s="563"/>
      <c r="N91" s="1154"/>
      <c r="O91" s="1154"/>
      <c r="P91" s="2626"/>
      <c r="Q91" s="559"/>
    </row>
    <row r="92" spans="1:17" ht="15.75" hidden="1" thickTop="1">
      <c r="A92" s="534"/>
      <c r="B92" s="538">
        <f>B28</f>
        <v>111</v>
      </c>
      <c r="C92" s="554"/>
      <c r="D92" s="554"/>
      <c r="E92" s="554"/>
      <c r="F92" s="554"/>
      <c r="G92" s="583"/>
      <c r="H92" s="583"/>
      <c r="I92" s="583"/>
      <c r="J92" s="583"/>
      <c r="K92" s="584"/>
      <c r="L92" s="585"/>
      <c r="M92" s="586"/>
      <c r="N92" s="1152"/>
      <c r="O92" s="1152"/>
      <c r="P92" s="2625"/>
      <c r="Q92" s="504"/>
    </row>
    <row r="93" spans="1:17" ht="15.75" hidden="1" thickBot="1">
      <c r="A93" s="534"/>
      <c r="B93" s="543"/>
      <c r="C93" s="560"/>
      <c r="D93" s="536"/>
      <c r="E93" s="536"/>
      <c r="F93" s="536"/>
      <c r="G93" s="536"/>
      <c r="H93" s="536"/>
      <c r="I93" s="536"/>
      <c r="J93" s="536"/>
      <c r="K93" s="536"/>
      <c r="L93" s="536"/>
      <c r="M93" s="537"/>
      <c r="N93" s="1153"/>
      <c r="O93" s="1153"/>
      <c r="P93" s="2625"/>
      <c r="Q93" s="504"/>
    </row>
    <row r="94" spans="1:17" ht="15.75" hidden="1" thickTop="1">
      <c r="A94" s="534"/>
      <c r="B94" s="538">
        <f>B29</f>
        <v>111</v>
      </c>
      <c r="C94" s="554"/>
      <c r="D94" s="554"/>
      <c r="E94" s="554"/>
      <c r="F94" s="554"/>
      <c r="G94" s="583"/>
      <c r="H94" s="583"/>
      <c r="I94" s="583"/>
      <c r="J94" s="583"/>
      <c r="K94" s="584"/>
      <c r="L94" s="585"/>
      <c r="M94" s="586"/>
      <c r="N94" s="1152"/>
      <c r="O94" s="1152"/>
      <c r="P94" s="2625"/>
      <c r="Q94" s="504"/>
    </row>
    <row r="95" spans="1:17" ht="15.75" hidden="1" thickBot="1">
      <c r="A95" s="534"/>
      <c r="B95" s="543"/>
      <c r="C95" s="560"/>
      <c r="D95" s="560"/>
      <c r="E95" s="560"/>
      <c r="F95" s="560"/>
      <c r="G95" s="536"/>
      <c r="H95" s="536"/>
      <c r="I95" s="536"/>
      <c r="J95" s="536"/>
      <c r="K95" s="536"/>
      <c r="L95" s="536"/>
      <c r="M95" s="537"/>
      <c r="N95" s="1153"/>
      <c r="O95" s="1153"/>
      <c r="P95" s="2625"/>
      <c r="Q95" s="504"/>
    </row>
    <row r="96" spans="1:17" ht="15.75" hidden="1" thickTop="1">
      <c r="A96" s="534"/>
      <c r="B96" s="538">
        <f>B30</f>
        <v>111</v>
      </c>
      <c r="C96" s="554"/>
      <c r="D96" s="554"/>
      <c r="E96" s="554"/>
      <c r="F96" s="554"/>
      <c r="G96" s="583"/>
      <c r="H96" s="583"/>
      <c r="I96" s="583"/>
      <c r="J96" s="583"/>
      <c r="K96" s="584"/>
      <c r="L96" s="585"/>
      <c r="M96" s="586"/>
      <c r="N96" s="1152"/>
      <c r="O96" s="1152"/>
      <c r="P96" s="2625"/>
      <c r="Q96" s="504"/>
    </row>
    <row r="97" spans="1:17" ht="15.75" hidden="1" thickBot="1">
      <c r="A97" s="534"/>
      <c r="B97" s="543"/>
      <c r="C97" s="570"/>
      <c r="D97" s="570"/>
      <c r="E97" s="570"/>
      <c r="F97" s="570"/>
      <c r="G97" s="536"/>
      <c r="H97" s="536"/>
      <c r="I97" s="536"/>
      <c r="J97" s="536"/>
      <c r="K97" s="536"/>
      <c r="L97" s="536"/>
      <c r="M97" s="537"/>
      <c r="N97" s="1153"/>
      <c r="O97" s="1153"/>
      <c r="P97" s="2625"/>
      <c r="Q97" s="504"/>
    </row>
    <row r="98" spans="1:17" ht="15.75" hidden="1" thickTop="1">
      <c r="A98" s="534"/>
      <c r="B98" s="546">
        <f>B31</f>
        <v>111</v>
      </c>
      <c r="C98" s="587"/>
      <c r="D98" s="587"/>
      <c r="E98" s="587"/>
      <c r="F98" s="587"/>
      <c r="G98" s="587"/>
      <c r="H98" s="587"/>
      <c r="I98" s="587"/>
      <c r="J98" s="587"/>
      <c r="K98" s="588"/>
      <c r="L98" s="589"/>
      <c r="M98" s="590"/>
      <c r="N98" s="1152"/>
      <c r="O98" s="1152"/>
      <c r="P98" s="2625"/>
      <c r="Q98" s="504"/>
    </row>
    <row r="99" spans="1:17" ht="15.75" hidden="1" thickBot="1">
      <c r="A99" s="2631"/>
      <c r="B99" s="569"/>
      <c r="C99" s="591"/>
      <c r="D99" s="591"/>
      <c r="E99" s="591"/>
      <c r="F99" s="591"/>
      <c r="G99" s="591"/>
      <c r="H99" s="591"/>
      <c r="I99" s="591"/>
      <c r="J99" s="591"/>
      <c r="K99" s="591"/>
      <c r="L99" s="591"/>
      <c r="M99" s="592"/>
      <c r="N99" s="1153"/>
      <c r="O99" s="1153"/>
      <c r="P99" s="2625"/>
      <c r="Q99" s="504"/>
    </row>
    <row r="100" spans="1:17" ht="15" thickTop="1">
      <c r="A100" s="527" t="s">
        <v>2549</v>
      </c>
      <c r="B100" s="528" t="s">
        <v>2597</v>
      </c>
      <c r="C100" s="2982" t="s">
        <v>3799</v>
      </c>
      <c r="D100" s="2982" t="s">
        <v>3800</v>
      </c>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5"/>
      <c r="Q101" s="504"/>
    </row>
    <row r="102" spans="1:17" ht="29.25" thickTop="1">
      <c r="A102" s="534"/>
      <c r="B102" s="538" t="s">
        <v>2598</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200000(含)-400000</v>
      </c>
      <c r="H102" s="578" t="str">
        <f t="shared" si="27"/>
        <v>400000(含)-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50000</v>
      </c>
      <c r="E103" s="595">
        <v>100000</v>
      </c>
      <c r="F103" s="595">
        <v>150000</v>
      </c>
      <c r="G103" s="595">
        <v>200000</v>
      </c>
      <c r="H103" s="595">
        <v>400000</v>
      </c>
      <c r="I103" s="595"/>
      <c r="J103" s="596"/>
      <c r="K103" s="596"/>
      <c r="L103" s="597"/>
      <c r="M103" s="598"/>
      <c r="N103" s="1154"/>
      <c r="O103" s="1154"/>
      <c r="P103" s="2626"/>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6"/>
      <c r="N104" s="1153"/>
      <c r="O104" s="1153"/>
      <c r="P104" s="2626"/>
      <c r="Q104" s="559"/>
    </row>
    <row r="105" spans="1:17" ht="15" thickTop="1">
      <c r="A105" s="599"/>
      <c r="B105" s="538" t="s">
        <v>2599</v>
      </c>
      <c r="C105" s="2983" t="s">
        <v>3805</v>
      </c>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3"/>
      <c r="O106" s="1153"/>
      <c r="P106" s="2625"/>
      <c r="Q106" s="504"/>
    </row>
    <row r="107" spans="1:17" ht="15" thickTop="1">
      <c r="A107" s="599"/>
      <c r="B107" s="538" t="s">
        <v>2600</v>
      </c>
      <c r="C107" s="2984" t="s">
        <v>3801</v>
      </c>
      <c r="D107" s="2984" t="s">
        <v>3802</v>
      </c>
      <c r="E107" s="2984" t="s">
        <v>3803</v>
      </c>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3"/>
      <c r="O108" s="1153"/>
      <c r="P108" s="2625"/>
      <c r="Q108" s="504"/>
    </row>
    <row r="109" spans="1:17" ht="15" thickTop="1">
      <c r="A109" s="599"/>
      <c r="B109" s="538" t="s">
        <v>2601</v>
      </c>
      <c r="C109" s="2983" t="s">
        <v>3806</v>
      </c>
      <c r="D109" s="2983" t="s">
        <v>3807</v>
      </c>
      <c r="E109" s="2983" t="s">
        <v>3808</v>
      </c>
      <c r="F109" s="2984" t="s">
        <v>3809</v>
      </c>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6"/>
      <c r="Q113" s="559"/>
    </row>
    <row r="114" spans="1:17" ht="15" thickTop="1">
      <c r="A114" s="599"/>
      <c r="B114" s="538" t="s">
        <v>2602</v>
      </c>
      <c r="C114" s="2983" t="s">
        <v>3810</v>
      </c>
      <c r="D114" s="2983" t="s">
        <v>3811</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97</v>
      </c>
      <c r="E115" s="544">
        <f t="shared" si="31"/>
        <v>94</v>
      </c>
      <c r="F115" s="544">
        <f t="shared" si="31"/>
        <v>91</v>
      </c>
      <c r="G115" s="544">
        <f t="shared" si="31"/>
        <v>88</v>
      </c>
      <c r="H115" s="544">
        <f t="shared" si="31"/>
        <v>85</v>
      </c>
      <c r="I115" s="544">
        <f t="shared" si="31"/>
        <v>82</v>
      </c>
      <c r="J115" s="544">
        <f t="shared" si="31"/>
        <v>79</v>
      </c>
      <c r="K115" s="544">
        <f t="shared" si="31"/>
        <v>76</v>
      </c>
      <c r="L115" s="544">
        <f t="shared" si="31"/>
        <v>73</v>
      </c>
      <c r="M115" s="544">
        <f t="shared" si="31"/>
        <v>70</v>
      </c>
      <c r="N115" s="1153"/>
      <c r="O115" s="1153"/>
      <c r="P115" s="2625"/>
      <c r="Q115" s="504"/>
    </row>
    <row r="116" spans="1:17" ht="15" thickTop="1">
      <c r="A116" s="599"/>
      <c r="B116" s="538" t="s">
        <v>2603</v>
      </c>
      <c r="C116" s="2983" t="s">
        <v>3821</v>
      </c>
      <c r="D116" s="2983"/>
      <c r="E116" s="2983"/>
      <c r="F116" s="2984"/>
      <c r="G116" s="554"/>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hidden="1" thickTop="1">
      <c r="A118" s="599"/>
      <c r="B118" s="538" t="s">
        <v>2604</v>
      </c>
      <c r="C118" s="583"/>
      <c r="D118" s="583"/>
      <c r="E118" s="583"/>
      <c r="F118" s="583"/>
      <c r="G118" s="583"/>
      <c r="H118" s="583"/>
      <c r="I118" s="583"/>
      <c r="J118" s="583"/>
      <c r="K118" s="584"/>
      <c r="L118" s="585"/>
      <c r="M118" s="586"/>
      <c r="N118" s="1152"/>
      <c r="O118" s="1152"/>
      <c r="P118" s="2625"/>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hidden="1" thickTop="1">
      <c r="A120" s="593"/>
      <c r="B120" s="538" t="s">
        <v>2560</v>
      </c>
      <c r="C120" s="554"/>
      <c r="D120" s="554"/>
      <c r="E120" s="554"/>
      <c r="F120" s="554"/>
      <c r="G120" s="554"/>
      <c r="H120" s="554"/>
      <c r="I120" s="554"/>
      <c r="J120" s="554"/>
      <c r="K120" s="554"/>
      <c r="L120" s="580"/>
      <c r="M120" s="581"/>
      <c r="N120" s="1154"/>
      <c r="O120" s="1154"/>
      <c r="P120" s="2626"/>
      <c r="Q120" s="559"/>
    </row>
    <row r="121" spans="1:17" s="471" customFormat="1" ht="15.75" hidden="1"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2605</v>
      </c>
      <c r="C122" s="2983" t="s">
        <v>3806</v>
      </c>
      <c r="D122" s="2983" t="s">
        <v>3807</v>
      </c>
      <c r="E122" s="2983" t="s">
        <v>3808</v>
      </c>
      <c r="F122" s="2984" t="s">
        <v>3809</v>
      </c>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3"/>
      <c r="O123" s="1153"/>
      <c r="P123" s="2625"/>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2607</v>
      </c>
    </row>
    <row r="137" spans="1:17" ht="15">
      <c r="B137" s="2633" t="s">
        <v>2608</v>
      </c>
      <c r="C137" s="2634"/>
      <c r="D137" s="2634"/>
      <c r="E137" s="2634"/>
      <c r="F137" s="2634"/>
      <c r="G137" s="2635"/>
      <c r="H137" s="2636"/>
      <c r="I137" s="2637" t="s">
        <v>2609</v>
      </c>
      <c r="J137" s="2634"/>
      <c r="K137" s="2638"/>
    </row>
    <row r="138" spans="1:17" ht="15">
      <c r="B138" s="2639"/>
      <c r="C138" s="146" t="s">
        <v>2610</v>
      </c>
      <c r="D138" s="146" t="s">
        <v>2611</v>
      </c>
      <c r="E138" s="2640" t="s">
        <v>2612</v>
      </c>
      <c r="F138" s="2641" t="s">
        <v>2613</v>
      </c>
      <c r="G138" s="146" t="s">
        <v>2611</v>
      </c>
      <c r="H138" s="147" t="s">
        <v>2612</v>
      </c>
      <c r="I138" s="2642"/>
      <c r="J138" s="146" t="s">
        <v>2614</v>
      </c>
      <c r="K138" s="147" t="s">
        <v>2615</v>
      </c>
    </row>
    <row r="139" spans="1:17" ht="15">
      <c r="B139" s="1084">
        <v>6</v>
      </c>
      <c r="C139" s="1085">
        <v>96</v>
      </c>
      <c r="D139" s="2643" t="s">
        <v>2616</v>
      </c>
      <c r="E139" s="1086">
        <v>100</v>
      </c>
      <c r="F139" s="1087">
        <v>102.5</v>
      </c>
      <c r="G139" s="2643" t="s">
        <v>2616</v>
      </c>
      <c r="H139" s="1088">
        <v>105</v>
      </c>
      <c r="I139" s="2644" t="s">
        <v>2617</v>
      </c>
      <c r="J139" s="1085">
        <v>20</v>
      </c>
      <c r="K139" s="1089">
        <f>C145/(J139-2)</f>
        <v>4.0555555555555553E-3</v>
      </c>
    </row>
    <row r="140" spans="1:17" ht="15">
      <c r="B140" s="1090">
        <v>5</v>
      </c>
      <c r="C140" s="1091">
        <v>100</v>
      </c>
      <c r="D140" s="1091"/>
      <c r="E140" s="1092"/>
      <c r="F140" s="1093">
        <v>102</v>
      </c>
      <c r="G140" s="1091"/>
      <c r="H140" s="1094"/>
      <c r="I140" s="2645" t="s">
        <v>2618</v>
      </c>
      <c r="J140" s="315">
        <f>ROUNDUP((J139-1)/2,0)</f>
        <v>10</v>
      </c>
      <c r="K140" s="1095">
        <v>100</v>
      </c>
    </row>
    <row r="141" spans="1:17" ht="15">
      <c r="B141" s="1090">
        <v>4</v>
      </c>
      <c r="C141" s="1091">
        <v>102</v>
      </c>
      <c r="D141" s="1091"/>
      <c r="E141" s="1092"/>
      <c r="F141" s="1093">
        <v>101.5</v>
      </c>
      <c r="G141" s="1091"/>
      <c r="H141" s="1094"/>
      <c r="I141" s="2645" t="s">
        <v>2619</v>
      </c>
      <c r="J141" s="315">
        <v>1</v>
      </c>
      <c r="K141" s="1096">
        <f>ROUND(100+(J141-J140)*K139*100,1)</f>
        <v>96.4</v>
      </c>
    </row>
    <row r="142" spans="1:17" ht="15">
      <c r="B142" s="1090">
        <v>3</v>
      </c>
      <c r="C142" s="1091">
        <v>103</v>
      </c>
      <c r="D142" s="1091"/>
      <c r="E142" s="1092"/>
      <c r="F142" s="1093">
        <v>101</v>
      </c>
      <c r="G142" s="1091"/>
      <c r="H142" s="1094"/>
      <c r="I142" s="2645" t="s">
        <v>2620</v>
      </c>
      <c r="J142" s="315">
        <f>J139</f>
        <v>20</v>
      </c>
      <c r="K142" s="1097">
        <v>95</v>
      </c>
    </row>
    <row r="143" spans="1:17" ht="15">
      <c r="B143" s="1090">
        <v>2</v>
      </c>
      <c r="C143" s="1091">
        <v>100</v>
      </c>
      <c r="D143" s="1091"/>
      <c r="E143" s="1092"/>
      <c r="F143" s="1093">
        <v>100.5</v>
      </c>
      <c r="G143" s="1091"/>
      <c r="H143" s="1094"/>
      <c r="I143" s="2645" t="s">
        <v>2621</v>
      </c>
      <c r="J143" s="1091">
        <v>15</v>
      </c>
      <c r="K143" s="1096">
        <f>ROUND(100+(J143-J140)*K139*100,1)</f>
        <v>102</v>
      </c>
    </row>
    <row r="144" spans="1:17" ht="15">
      <c r="B144" s="1090">
        <v>1</v>
      </c>
      <c r="C144" s="1091">
        <v>98</v>
      </c>
      <c r="D144" s="2646" t="s">
        <v>2622</v>
      </c>
      <c r="E144" s="1092">
        <v>102</v>
      </c>
      <c r="F144" s="1098">
        <v>100</v>
      </c>
      <c r="G144" s="2646" t="s">
        <v>2622</v>
      </c>
      <c r="H144" s="1094">
        <v>105</v>
      </c>
      <c r="I144" s="2645" t="s">
        <v>2621</v>
      </c>
      <c r="J144" s="1091">
        <v>18</v>
      </c>
      <c r="K144" s="1096">
        <f>ROUND(100+(J144-J140)*K139*100,1)</f>
        <v>103.2</v>
      </c>
    </row>
    <row r="145" spans="2:11" ht="15.75" thickBot="1">
      <c r="B145" s="2647" t="s">
        <v>2623</v>
      </c>
      <c r="C145" s="1099">
        <f>ROUND(MAX(C139:C144)/MIN(C139:C144)-1,3)</f>
        <v>7.2999999999999995E-2</v>
      </c>
      <c r="D145" s="1100"/>
      <c r="E145" s="1100"/>
      <c r="F145" s="2648" t="s">
        <v>2624</v>
      </c>
      <c r="G145" s="2649"/>
      <c r="H145" s="2650"/>
      <c r="I145" s="2651" t="s">
        <v>2621</v>
      </c>
      <c r="J145" s="1101">
        <v>8</v>
      </c>
      <c r="K145" s="1102">
        <f>ROUND(100+(J145-J140)*K139*100,1)</f>
        <v>99.2</v>
      </c>
    </row>
    <row r="147" spans="2:11">
      <c r="B147" s="2632" t="s">
        <v>2625</v>
      </c>
    </row>
    <row r="148" spans="2:11">
      <c r="B148" s="2632"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2627</v>
      </c>
      <c r="C1" s="1633" t="s">
        <v>2516</v>
      </c>
      <c r="D1" s="1620"/>
      <c r="E1" s="2652"/>
      <c r="F1" s="2580"/>
      <c r="G1" s="1630" t="s">
        <v>2628</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2316</v>
      </c>
      <c r="B2" s="1418" t="e">
        <f ca="1">IF(C2="——",ROUND(C49*D3/10000,0),ROUND(C49*D3/10000,0)-D2)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2318</v>
      </c>
      <c r="B3" s="609" t="e">
        <f ca="1">IF(C2="——",C49,ROUND(B2*10000/D3,0))</f>
        <v>#DIV/0!</v>
      </c>
      <c r="C3" s="400" t="s">
        <v>2629</v>
      </c>
      <c r="D3" s="399">
        <f>IF(D1="",'数据-汇总表'!E3,SUMIF('数据-汇总表'!$C19:$C33,D1,'数据-汇总表'!$E19:$E33))</f>
        <v>38206.339999999997</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2630</v>
      </c>
      <c r="B4" s="402"/>
      <c r="C4" s="3346" t="s">
        <v>2631</v>
      </c>
      <c r="D4" s="3347"/>
      <c r="E4" s="3348" t="s">
        <v>2632</v>
      </c>
      <c r="F4" s="3349"/>
      <c r="G4" s="3346" t="s">
        <v>2633</v>
      </c>
      <c r="H4" s="3347"/>
      <c r="I4" s="3346" t="s">
        <v>2634</v>
      </c>
      <c r="J4" s="3347"/>
      <c r="K4" s="610" t="s">
        <v>2635</v>
      </c>
      <c r="L4" s="1130"/>
      <c r="M4" s="1131"/>
      <c r="N4" s="1131"/>
      <c r="O4" s="1131"/>
      <c r="P4" s="3350" t="s">
        <v>2636</v>
      </c>
      <c r="Q4" s="3351"/>
      <c r="R4" s="3333" t="s">
        <v>2632</v>
      </c>
      <c r="S4" s="3334"/>
      <c r="T4" s="3333" t="s">
        <v>2633</v>
      </c>
      <c r="U4" s="3334"/>
      <c r="V4" s="3358" t="s">
        <v>2634</v>
      </c>
      <c r="W4" s="3358"/>
      <c r="X4" s="1812"/>
      <c r="Y4" s="3333" t="s">
        <v>2636</v>
      </c>
      <c r="Z4" s="3334"/>
      <c r="AA4" s="3328" t="s">
        <v>2632</v>
      </c>
      <c r="AB4" s="3358" t="s">
        <v>2633</v>
      </c>
      <c r="AC4" s="3328" t="s">
        <v>2634</v>
      </c>
    </row>
    <row r="5" spans="1:29" ht="15">
      <c r="A5" s="404"/>
      <c r="B5" s="405"/>
      <c r="C5" s="3339" t="s">
        <v>2528</v>
      </c>
      <c r="D5" s="3340"/>
      <c r="E5" s="3337" t="s">
        <v>2529</v>
      </c>
      <c r="F5" s="3338"/>
      <c r="G5" s="3339" t="s">
        <v>2530</v>
      </c>
      <c r="H5" s="3340"/>
      <c r="I5" s="3339" t="s">
        <v>2531</v>
      </c>
      <c r="J5" s="3340"/>
      <c r="K5" s="610"/>
      <c r="L5" s="1130"/>
      <c r="M5" s="1131"/>
      <c r="N5" s="1131"/>
      <c r="O5" s="1131"/>
      <c r="P5" s="3352"/>
      <c r="Q5" s="3353"/>
      <c r="R5" s="3335"/>
      <c r="S5" s="3336"/>
      <c r="T5" s="3335"/>
      <c r="U5" s="3336"/>
      <c r="V5" s="3358"/>
      <c r="W5" s="3358"/>
      <c r="X5" s="1812"/>
      <c r="Y5" s="3335"/>
      <c r="Z5" s="3336"/>
      <c r="AA5" s="3329"/>
      <c r="AB5" s="3358"/>
      <c r="AC5" s="3329"/>
    </row>
    <row r="6" spans="1:29" ht="15.75" thickBot="1">
      <c r="A6" s="406"/>
      <c r="B6" s="407"/>
      <c r="C6" s="3341" t="s">
        <v>2532</v>
      </c>
      <c r="D6" s="3342"/>
      <c r="E6" s="3343" t="s">
        <v>2532</v>
      </c>
      <c r="F6" s="3344"/>
      <c r="G6" s="3341" t="s">
        <v>2532</v>
      </c>
      <c r="H6" s="3342"/>
      <c r="I6" s="3341" t="s">
        <v>2532</v>
      </c>
      <c r="J6" s="3342"/>
      <c r="K6" s="610" t="s">
        <v>2533</v>
      </c>
      <c r="L6" s="1130"/>
      <c r="M6" s="1131"/>
      <c r="N6" s="1131"/>
      <c r="O6" s="1131"/>
      <c r="P6" s="3354"/>
      <c r="Q6" s="3355"/>
      <c r="R6" s="3335"/>
      <c r="S6" s="3336"/>
      <c r="T6" s="3356"/>
      <c r="U6" s="3357"/>
      <c r="V6" s="3358"/>
      <c r="W6" s="3358"/>
      <c r="X6" s="1812"/>
      <c r="Y6" s="3356"/>
      <c r="Z6" s="3357"/>
      <c r="AA6" s="3330"/>
      <c r="AB6" s="3358"/>
      <c r="AC6" s="3330"/>
    </row>
    <row r="7" spans="1:29" s="117" customFormat="1" ht="15.75" thickBot="1">
      <c r="A7" s="408" t="s">
        <v>2534</v>
      </c>
      <c r="B7" s="409"/>
      <c r="C7" s="410">
        <f>'数据-取费表'!B2</f>
        <v>43755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331" t="s">
        <v>2535</v>
      </c>
      <c r="Q7" s="3359"/>
      <c r="R7" s="770" t="s">
        <v>17</v>
      </c>
      <c r="S7" s="771">
        <f t="shared" ref="S7:S15" si="0">F7</f>
        <v>0</v>
      </c>
      <c r="T7" s="770" t="s">
        <v>17</v>
      </c>
      <c r="U7" s="771">
        <f t="shared" ref="U7:U15" si="1">H7</f>
        <v>0</v>
      </c>
      <c r="V7" s="770" t="s">
        <v>17</v>
      </c>
      <c r="W7" s="771">
        <f t="shared" ref="W7:W15" si="2">J7</f>
        <v>0</v>
      </c>
      <c r="X7" s="772"/>
      <c r="Y7" s="3331" t="s">
        <v>2535</v>
      </c>
      <c r="Z7" s="3332"/>
      <c r="AA7" s="773" t="e">
        <f>D7/F7</f>
        <v>#DIV/0!</v>
      </c>
      <c r="AB7" s="773" t="e">
        <f>D7/H7</f>
        <v>#DIV/0!</v>
      </c>
      <c r="AC7" s="773" t="e">
        <f>D7/J7</f>
        <v>#DIV/0!</v>
      </c>
    </row>
    <row r="8" spans="1:29" s="117" customFormat="1" ht="15.75" thickBot="1">
      <c r="A8" s="408" t="s">
        <v>2536</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331" t="s">
        <v>2538</v>
      </c>
      <c r="Q8" s="3332"/>
      <c r="R8" s="770" t="s">
        <v>17</v>
      </c>
      <c r="S8" s="771">
        <f t="shared" si="0"/>
        <v>0</v>
      </c>
      <c r="T8" s="770" t="s">
        <v>17</v>
      </c>
      <c r="U8" s="771">
        <f t="shared" si="1"/>
        <v>0</v>
      </c>
      <c r="V8" s="770" t="s">
        <v>17</v>
      </c>
      <c r="W8" s="771">
        <f t="shared" si="2"/>
        <v>0</v>
      </c>
      <c r="X8" s="772"/>
      <c r="Y8" s="3331" t="s">
        <v>2538</v>
      </c>
      <c r="Z8" s="3332"/>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69" t="s">
        <v>2541</v>
      </c>
      <c r="Q9" s="1794" t="str">
        <f t="shared" ref="Q9:Q15" si="6">B9</f>
        <v>用途</v>
      </c>
      <c r="R9" s="770" t="s">
        <v>17</v>
      </c>
      <c r="S9" s="771">
        <f t="shared" si="0"/>
        <v>100</v>
      </c>
      <c r="T9" s="770" t="s">
        <v>17</v>
      </c>
      <c r="U9" s="771">
        <f t="shared" si="1"/>
        <v>100</v>
      </c>
      <c r="V9" s="770" t="s">
        <v>17</v>
      </c>
      <c r="W9" s="771">
        <f t="shared" si="2"/>
        <v>100</v>
      </c>
      <c r="X9" s="772"/>
      <c r="Y9" s="3147"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69"/>
      <c r="Q10" s="1794"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369"/>
      <c r="Q11" s="1794" t="str">
        <f t="shared" si="6"/>
        <v>容积率</v>
      </c>
      <c r="R11" s="770" t="s">
        <v>17</v>
      </c>
      <c r="S11" s="771" t="e">
        <f t="shared" si="0"/>
        <v>#N/A</v>
      </c>
      <c r="T11" s="770" t="s">
        <v>17</v>
      </c>
      <c r="U11" s="771" t="e">
        <f t="shared" si="1"/>
        <v>#N/A</v>
      </c>
      <c r="V11" s="770" t="s">
        <v>17</v>
      </c>
      <c r="W11" s="771" t="e">
        <f t="shared" si="2"/>
        <v>#N/A</v>
      </c>
      <c r="X11" s="772"/>
      <c r="Y11" s="314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69"/>
      <c r="Q12" s="1794">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69"/>
      <c r="Q13" s="1794">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69"/>
      <c r="Q14" s="1794">
        <f t="shared" si="6"/>
        <v>111</v>
      </c>
      <c r="R14" s="770" t="s">
        <v>17</v>
      </c>
      <c r="S14" s="771">
        <f t="shared" si="0"/>
        <v>100</v>
      </c>
      <c r="T14" s="770" t="s">
        <v>17</v>
      </c>
      <c r="U14" s="771">
        <f t="shared" si="1"/>
        <v>100</v>
      </c>
      <c r="V14" s="770" t="s">
        <v>17</v>
      </c>
      <c r="W14" s="771">
        <f t="shared" si="2"/>
        <v>100</v>
      </c>
      <c r="X14" s="772"/>
      <c r="Y14" s="3147"/>
      <c r="Z14" s="55">
        <f t="shared" si="7"/>
        <v>111</v>
      </c>
      <c r="AA14" s="773">
        <f t="shared" si="3"/>
        <v>1</v>
      </c>
      <c r="AB14" s="773">
        <f t="shared" si="4"/>
        <v>1</v>
      </c>
      <c r="AC14" s="773">
        <f t="shared" si="5"/>
        <v>1</v>
      </c>
    </row>
    <row r="15" spans="1:29" ht="15">
      <c r="A15" s="440" t="s">
        <v>2545</v>
      </c>
      <c r="B15" s="69" t="s">
        <v>2638</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410" t="s">
        <v>2546</v>
      </c>
      <c r="Q15" s="1809" t="str">
        <f t="shared" si="6"/>
        <v>商业繁华度</v>
      </c>
      <c r="R15" s="774" t="s">
        <v>17</v>
      </c>
      <c r="S15" s="775">
        <f t="shared" si="0"/>
        <v>100</v>
      </c>
      <c r="T15" s="774" t="s">
        <v>17</v>
      </c>
      <c r="U15" s="775">
        <f t="shared" si="1"/>
        <v>100</v>
      </c>
      <c r="V15" s="774" t="s">
        <v>17</v>
      </c>
      <c r="W15" s="775">
        <f t="shared" si="2"/>
        <v>100</v>
      </c>
      <c r="X15" s="1812"/>
      <c r="Y15" s="3360" t="s">
        <v>2546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411"/>
      <c r="Q16" s="1809"/>
      <c r="R16" s="774"/>
      <c r="S16" s="775"/>
      <c r="T16" s="774"/>
      <c r="U16" s="775"/>
      <c r="V16" s="774"/>
      <c r="W16" s="775"/>
      <c r="X16" s="1812"/>
      <c r="Y16" s="3361"/>
      <c r="Z16" s="1813"/>
      <c r="AA16" s="1810">
        <v>1</v>
      </c>
      <c r="AB16" s="1810">
        <v>1</v>
      </c>
      <c r="AC16" s="1810">
        <v>1</v>
      </c>
    </row>
    <row r="17" spans="1:29" ht="15">
      <c r="A17" s="428"/>
      <c r="B17" s="451" t="s">
        <v>2088</v>
      </c>
      <c r="C17" s="260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411"/>
      <c r="Q17" s="1809" t="str">
        <f>B17</f>
        <v>交通便捷度</v>
      </c>
      <c r="R17" s="774" t="s">
        <v>17</v>
      </c>
      <c r="S17" s="775">
        <f>F17</f>
        <v>100</v>
      </c>
      <c r="T17" s="774" t="s">
        <v>17</v>
      </c>
      <c r="U17" s="775">
        <f>H17</f>
        <v>100</v>
      </c>
      <c r="V17" s="774" t="s">
        <v>17</v>
      </c>
      <c r="W17" s="775">
        <f>J17</f>
        <v>100</v>
      </c>
      <c r="X17" s="1812"/>
      <c r="Y17" s="3361"/>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411"/>
      <c r="Q18" s="1809"/>
      <c r="R18" s="774"/>
      <c r="S18" s="775"/>
      <c r="T18" s="774"/>
      <c r="U18" s="775"/>
      <c r="V18" s="774"/>
      <c r="W18" s="775"/>
      <c r="X18" s="1812"/>
      <c r="Y18" s="3361"/>
      <c r="Z18" s="1813"/>
      <c r="AA18" s="1810">
        <v>1</v>
      </c>
      <c r="AB18" s="1810">
        <v>1</v>
      </c>
      <c r="AC18" s="1810">
        <v>1</v>
      </c>
    </row>
    <row r="19" spans="1:29" ht="15">
      <c r="A19" s="428"/>
      <c r="B19" s="451" t="s">
        <v>2639</v>
      </c>
      <c r="C19" s="260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411"/>
      <c r="Q19" s="1809" t="str">
        <f>B19</f>
        <v>公共配套设施</v>
      </c>
      <c r="R19" s="774" t="s">
        <v>17</v>
      </c>
      <c r="S19" s="775">
        <f>F19</f>
        <v>100</v>
      </c>
      <c r="T19" s="774" t="s">
        <v>17</v>
      </c>
      <c r="U19" s="775">
        <f>H19</f>
        <v>100</v>
      </c>
      <c r="V19" s="774" t="s">
        <v>17</v>
      </c>
      <c r="W19" s="775">
        <f>J19</f>
        <v>100</v>
      </c>
      <c r="X19" s="1812"/>
      <c r="Y19" s="3361"/>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411"/>
      <c r="Q20" s="1809"/>
      <c r="R20" s="774"/>
      <c r="S20" s="775"/>
      <c r="T20" s="774"/>
      <c r="U20" s="775"/>
      <c r="V20" s="774"/>
      <c r="W20" s="775"/>
      <c r="X20" s="1812"/>
      <c r="Y20" s="3361"/>
      <c r="Z20" s="1813"/>
      <c r="AA20" s="1810">
        <v>1</v>
      </c>
      <c r="AB20" s="1810">
        <v>1</v>
      </c>
      <c r="AC20" s="1810">
        <v>1</v>
      </c>
    </row>
    <row r="21" spans="1:29" ht="15">
      <c r="A21" s="428"/>
      <c r="B21" s="1384" t="s">
        <v>2640</v>
      </c>
      <c r="C21" s="2603"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411"/>
      <c r="Q21" s="1809" t="str">
        <f>B21</f>
        <v>基础设施水平</v>
      </c>
      <c r="R21" s="774" t="s">
        <v>17</v>
      </c>
      <c r="S21" s="775">
        <f>F21</f>
        <v>100</v>
      </c>
      <c r="T21" s="774" t="s">
        <v>17</v>
      </c>
      <c r="U21" s="775">
        <f>H21</f>
        <v>100</v>
      </c>
      <c r="V21" s="774" t="s">
        <v>17</v>
      </c>
      <c r="W21" s="775">
        <f>J21</f>
        <v>100</v>
      </c>
      <c r="X21" s="1812"/>
      <c r="Y21" s="3361"/>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1"/>
      <c r="P22" s="3411"/>
      <c r="Q22" s="1809"/>
      <c r="R22" s="774"/>
      <c r="S22" s="775"/>
      <c r="T22" s="774"/>
      <c r="U22" s="775"/>
      <c r="V22" s="774"/>
      <c r="W22" s="775"/>
      <c r="X22" s="1812"/>
      <c r="Y22" s="3361"/>
      <c r="Z22" s="1813"/>
      <c r="AA22" s="1810">
        <v>1</v>
      </c>
      <c r="AB22" s="1810">
        <v>1</v>
      </c>
      <c r="AC22" s="1810">
        <v>1</v>
      </c>
    </row>
    <row r="23" spans="1:29" ht="15">
      <c r="A23" s="428"/>
      <c r="B23" s="451" t="s">
        <v>2091</v>
      </c>
      <c r="C23" s="2659"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411"/>
      <c r="Q23" s="1809" t="str">
        <f>B23</f>
        <v>自然及人文环境</v>
      </c>
      <c r="R23" s="774" t="s">
        <v>17</v>
      </c>
      <c r="S23" s="775">
        <f>F23</f>
        <v>100</v>
      </c>
      <c r="T23" s="774" t="s">
        <v>17</v>
      </c>
      <c r="U23" s="775">
        <f>H23</f>
        <v>100</v>
      </c>
      <c r="V23" s="774" t="s">
        <v>17</v>
      </c>
      <c r="W23" s="775">
        <f>J23</f>
        <v>100</v>
      </c>
      <c r="X23" s="1812"/>
      <c r="Y23" s="3361"/>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411"/>
      <c r="Q24" s="1809"/>
      <c r="R24" s="774"/>
      <c r="S24" s="775"/>
      <c r="T24" s="774"/>
      <c r="U24" s="775"/>
      <c r="V24" s="774"/>
      <c r="W24" s="775"/>
      <c r="X24" s="1812"/>
      <c r="Y24" s="3361"/>
      <c r="Z24" s="1813"/>
      <c r="AA24" s="1810">
        <v>1</v>
      </c>
      <c r="AB24" s="1810">
        <v>1</v>
      </c>
      <c r="AC24" s="1810">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411"/>
      <c r="Q25" s="1809" t="str">
        <f t="shared" ref="Q25:Q46" si="11">B25</f>
        <v>临街状况</v>
      </c>
      <c r="R25" s="774" t="s">
        <v>17</v>
      </c>
      <c r="S25" s="775">
        <f>F25</f>
        <v>100</v>
      </c>
      <c r="T25" s="774" t="s">
        <v>17</v>
      </c>
      <c r="U25" s="775">
        <f>H25</f>
        <v>100</v>
      </c>
      <c r="V25" s="774" t="s">
        <v>17</v>
      </c>
      <c r="W25" s="775">
        <f>J25</f>
        <v>100</v>
      </c>
      <c r="X25" s="1812"/>
      <c r="Y25" s="3361"/>
      <c r="Z25" s="1813" t="str">
        <f>Q25</f>
        <v>临街状况</v>
      </c>
      <c r="AA25" s="1810">
        <f t="shared" si="3"/>
        <v>1</v>
      </c>
      <c r="AB25" s="1810">
        <f t="shared" si="4"/>
        <v>1</v>
      </c>
      <c r="AC25" s="1810">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411"/>
      <c r="Q26" s="1809" t="str">
        <f t="shared" si="11"/>
        <v>平面位置/可视性</v>
      </c>
      <c r="R26" s="774" t="s">
        <v>17</v>
      </c>
      <c r="S26" s="775">
        <f>F26</f>
        <v>100</v>
      </c>
      <c r="T26" s="774" t="s">
        <v>17</v>
      </c>
      <c r="U26" s="775">
        <f>H26</f>
        <v>100</v>
      </c>
      <c r="V26" s="774" t="s">
        <v>17</v>
      </c>
      <c r="W26" s="775">
        <f>J26</f>
        <v>100</v>
      </c>
      <c r="X26" s="1812"/>
      <c r="Y26" s="3361"/>
      <c r="Z26" s="1813" t="str">
        <f>Q26</f>
        <v>平面位置/可视性</v>
      </c>
      <c r="AA26" s="1810">
        <f t="shared" si="3"/>
        <v>1</v>
      </c>
      <c r="AB26" s="1810">
        <f t="shared" si="4"/>
        <v>1</v>
      </c>
      <c r="AC26" s="1810">
        <f t="shared" si="5"/>
        <v>1</v>
      </c>
    </row>
    <row r="27" spans="1:29" s="117" customFormat="1" ht="15">
      <c r="A27" s="431"/>
      <c r="B27" s="451" t="s">
        <v>2643</v>
      </c>
      <c r="C27" s="2660"/>
      <c r="D27" s="462">
        <v>100</v>
      </c>
      <c r="E27" s="2660"/>
      <c r="F27" s="464">
        <f>SUMIF(90:90,E27,91:91)-SUMIF(90:90,C27,91:91)+100</f>
        <v>100</v>
      </c>
      <c r="G27" s="2660"/>
      <c r="H27" s="462">
        <f>SUMIF(90:90,G27,91:91)-SUMIF(90:90,C27,91:91)+100</f>
        <v>100</v>
      </c>
      <c r="I27" s="2660"/>
      <c r="J27" s="462">
        <f>SUMIF(90:90,I27,91:91)-SUMIF(90:90,C27,91:91)+100</f>
        <v>100</v>
      </c>
      <c r="K27" s="612"/>
      <c r="L27" s="1132"/>
      <c r="M27" s="1133"/>
      <c r="N27" s="1133"/>
      <c r="O27" s="1133"/>
      <c r="P27" s="3411"/>
      <c r="Q27" s="1794" t="str">
        <f t="shared" si="11"/>
        <v>人流量</v>
      </c>
      <c r="R27" s="770" t="s">
        <v>17</v>
      </c>
      <c r="S27" s="771">
        <f>F27</f>
        <v>100</v>
      </c>
      <c r="T27" s="770" t="s">
        <v>17</v>
      </c>
      <c r="U27" s="771">
        <f>H27</f>
        <v>100</v>
      </c>
      <c r="V27" s="770" t="s">
        <v>17</v>
      </c>
      <c r="W27" s="771">
        <f>J27</f>
        <v>100</v>
      </c>
      <c r="X27" s="772"/>
      <c r="Y27" s="3361"/>
      <c r="Z27" s="55" t="str">
        <f>Q27</f>
        <v>人流量</v>
      </c>
      <c r="AA27" s="1810">
        <f>D27/F27</f>
        <v>1</v>
      </c>
      <c r="AB27" s="1810">
        <f>D27/H27</f>
        <v>1</v>
      </c>
      <c r="AC27" s="1810">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41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36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411"/>
      <c r="Q29" s="1809">
        <f t="shared" si="11"/>
        <v>111</v>
      </c>
      <c r="R29" s="774" t="s">
        <v>17</v>
      </c>
      <c r="S29" s="775">
        <f t="shared" si="12"/>
        <v>100</v>
      </c>
      <c r="T29" s="774" t="s">
        <v>17</v>
      </c>
      <c r="U29" s="775">
        <f t="shared" si="13"/>
        <v>100</v>
      </c>
      <c r="V29" s="774" t="s">
        <v>17</v>
      </c>
      <c r="W29" s="775">
        <f t="shared" si="14"/>
        <v>100</v>
      </c>
      <c r="X29" s="1812"/>
      <c r="Y29" s="336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411"/>
      <c r="Q30" s="1809">
        <f t="shared" si="11"/>
        <v>111</v>
      </c>
      <c r="R30" s="774" t="s">
        <v>17</v>
      </c>
      <c r="S30" s="775">
        <f t="shared" si="12"/>
        <v>100</v>
      </c>
      <c r="T30" s="774" t="s">
        <v>17</v>
      </c>
      <c r="U30" s="775">
        <f t="shared" si="13"/>
        <v>100</v>
      </c>
      <c r="V30" s="774" t="s">
        <v>17</v>
      </c>
      <c r="W30" s="775">
        <f t="shared" si="14"/>
        <v>100</v>
      </c>
      <c r="X30" s="1812"/>
      <c r="Y30" s="336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411"/>
      <c r="Q31" s="1809">
        <f t="shared" si="11"/>
        <v>111</v>
      </c>
      <c r="R31" s="774" t="s">
        <v>17</v>
      </c>
      <c r="S31" s="775">
        <f t="shared" si="12"/>
        <v>100</v>
      </c>
      <c r="T31" s="774" t="s">
        <v>17</v>
      </c>
      <c r="U31" s="775">
        <f t="shared" si="13"/>
        <v>100</v>
      </c>
      <c r="V31" s="774" t="s">
        <v>17</v>
      </c>
      <c r="W31" s="775">
        <f t="shared" si="14"/>
        <v>100</v>
      </c>
      <c r="X31" s="1812"/>
      <c r="Y31" s="3361"/>
      <c r="Z31" s="1813">
        <f t="shared" si="15"/>
        <v>111</v>
      </c>
      <c r="AA31" s="1810">
        <f t="shared" si="3"/>
        <v>1</v>
      </c>
      <c r="AB31" s="1810">
        <f t="shared" si="4"/>
        <v>1</v>
      </c>
      <c r="AC31" s="1810">
        <f t="shared" si="5"/>
        <v>1</v>
      </c>
    </row>
    <row r="32" spans="1:29" ht="15">
      <c r="A32" s="440" t="s">
        <v>2549</v>
      </c>
      <c r="B32" s="71" t="s">
        <v>2645</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406" t="s">
        <v>2551</v>
      </c>
      <c r="Q32" s="1809" t="str">
        <f t="shared" si="11"/>
        <v>商业类型</v>
      </c>
      <c r="R32" s="774" t="s">
        <v>17</v>
      </c>
      <c r="S32" s="775">
        <f t="shared" si="12"/>
        <v>100</v>
      </c>
      <c r="T32" s="774" t="s">
        <v>17</v>
      </c>
      <c r="U32" s="775">
        <f t="shared" si="13"/>
        <v>100</v>
      </c>
      <c r="V32" s="774" t="s">
        <v>17</v>
      </c>
      <c r="W32" s="775">
        <f t="shared" si="14"/>
        <v>100</v>
      </c>
      <c r="X32" s="1812"/>
      <c r="Y32" s="3363" t="s">
        <v>2551</v>
      </c>
      <c r="Z32" s="1813" t="str">
        <f t="shared" si="15"/>
        <v>商业类型</v>
      </c>
      <c r="AA32" s="1810">
        <f t="shared" si="3"/>
        <v>1</v>
      </c>
      <c r="AB32" s="1810">
        <f t="shared" si="4"/>
        <v>1</v>
      </c>
      <c r="AC32" s="1810">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407"/>
      <c r="Q33" s="776" t="str">
        <f t="shared" si="11"/>
        <v>项目建筑规模</v>
      </c>
      <c r="R33" s="777" t="s">
        <v>17</v>
      </c>
      <c r="S33" s="778" t="e">
        <f t="shared" si="12"/>
        <v>#N/A</v>
      </c>
      <c r="T33" s="777" t="s">
        <v>17</v>
      </c>
      <c r="U33" s="778" t="e">
        <f t="shared" si="13"/>
        <v>#N/A</v>
      </c>
      <c r="V33" s="777" t="s">
        <v>17</v>
      </c>
      <c r="W33" s="778" t="e">
        <f t="shared" si="14"/>
        <v>#N/A</v>
      </c>
      <c r="X33" s="779"/>
      <c r="Y33" s="3363"/>
      <c r="Z33" s="780" t="str">
        <f t="shared" si="15"/>
        <v>项目建筑规模</v>
      </c>
      <c r="AA33" s="1810" t="e">
        <f t="shared" si="3"/>
        <v>#N/A</v>
      </c>
      <c r="AB33" s="1810" t="e">
        <f t="shared" si="4"/>
        <v>#N/A</v>
      </c>
      <c r="AC33" s="1810" t="e">
        <f t="shared" si="5"/>
        <v>#N/A</v>
      </c>
    </row>
    <row r="34" spans="1:29" ht="15">
      <c r="A34" s="472"/>
      <c r="B34" s="422" t="s">
        <v>2553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407"/>
      <c r="Q34" s="1809" t="str">
        <f t="shared" si="11"/>
        <v>建筑结构</v>
      </c>
      <c r="R34" s="774" t="s">
        <v>17</v>
      </c>
      <c r="S34" s="775">
        <f t="shared" si="12"/>
        <v>100</v>
      </c>
      <c r="T34" s="774" t="s">
        <v>17</v>
      </c>
      <c r="U34" s="775">
        <f t="shared" si="13"/>
        <v>100</v>
      </c>
      <c r="V34" s="774" t="s">
        <v>17</v>
      </c>
      <c r="W34" s="775">
        <f t="shared" si="14"/>
        <v>100</v>
      </c>
      <c r="X34" s="1812"/>
      <c r="Y34" s="3363"/>
      <c r="Z34" s="1813" t="str">
        <f t="shared" si="15"/>
        <v>建筑结构</v>
      </c>
      <c r="AA34" s="1810">
        <f t="shared" si="3"/>
        <v>1</v>
      </c>
      <c r="AB34" s="1810">
        <f t="shared" si="4"/>
        <v>1</v>
      </c>
      <c r="AC34" s="1810">
        <f t="shared" si="5"/>
        <v>1</v>
      </c>
    </row>
    <row r="35" spans="1:29" ht="15">
      <c r="A35" s="472"/>
      <c r="B35" s="422" t="s">
        <v>2646</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407"/>
      <c r="Q35" s="1809" t="str">
        <f t="shared" si="11"/>
        <v>公共部分装修</v>
      </c>
      <c r="R35" s="774" t="s">
        <v>17</v>
      </c>
      <c r="S35" s="775">
        <f t="shared" si="12"/>
        <v>100</v>
      </c>
      <c r="T35" s="774" t="s">
        <v>17</v>
      </c>
      <c r="U35" s="775">
        <f t="shared" si="13"/>
        <v>100</v>
      </c>
      <c r="V35" s="774" t="s">
        <v>17</v>
      </c>
      <c r="W35" s="775">
        <f t="shared" si="14"/>
        <v>100</v>
      </c>
      <c r="X35" s="1812"/>
      <c r="Y35" s="3363"/>
      <c r="Z35" s="1813" t="str">
        <f t="shared" si="15"/>
        <v>公共部分装修</v>
      </c>
      <c r="AA35" s="1810">
        <f t="shared" si="3"/>
        <v>1</v>
      </c>
      <c r="AB35" s="1810">
        <f t="shared" si="4"/>
        <v>1</v>
      </c>
      <c r="AC35" s="1810">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407"/>
      <c r="Q36" s="1809" t="str">
        <f t="shared" si="11"/>
        <v>成新度</v>
      </c>
      <c r="R36" s="774" t="s">
        <v>17</v>
      </c>
      <c r="S36" s="775" t="e">
        <f t="shared" si="12"/>
        <v>#N/A</v>
      </c>
      <c r="T36" s="774" t="s">
        <v>17</v>
      </c>
      <c r="U36" s="775" t="e">
        <f t="shared" si="13"/>
        <v>#N/A</v>
      </c>
      <c r="V36" s="774" t="s">
        <v>17</v>
      </c>
      <c r="W36" s="775" t="e">
        <f t="shared" si="14"/>
        <v>#N/A</v>
      </c>
      <c r="X36" s="1812"/>
      <c r="Y36" s="3363"/>
      <c r="Z36" s="1813" t="str">
        <f t="shared" si="15"/>
        <v>成新度</v>
      </c>
      <c r="AA36" s="1810" t="e">
        <f t="shared" si="3"/>
        <v>#N/A</v>
      </c>
      <c r="AB36" s="1810" t="e">
        <f t="shared" si="4"/>
        <v>#N/A</v>
      </c>
      <c r="AC36" s="1810" t="e">
        <f t="shared" si="5"/>
        <v>#N/A</v>
      </c>
    </row>
    <row r="37" spans="1:29" s="117" customFormat="1" ht="15">
      <c r="A37" s="473"/>
      <c r="B37" s="422" t="s">
        <v>2648</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407"/>
      <c r="Q37" s="1794" t="str">
        <f t="shared" si="11"/>
        <v>市政基础设施</v>
      </c>
      <c r="R37" s="770" t="s">
        <v>17</v>
      </c>
      <c r="S37" s="771">
        <f t="shared" si="12"/>
        <v>100</v>
      </c>
      <c r="T37" s="770" t="s">
        <v>17</v>
      </c>
      <c r="U37" s="771">
        <f t="shared" si="13"/>
        <v>100</v>
      </c>
      <c r="V37" s="770" t="s">
        <v>17</v>
      </c>
      <c r="W37" s="771">
        <f t="shared" si="14"/>
        <v>100</v>
      </c>
      <c r="X37" s="772"/>
      <c r="Y37" s="3363"/>
      <c r="Z37" s="55" t="str">
        <f t="shared" si="15"/>
        <v>市政基础设施</v>
      </c>
      <c r="AA37" s="773">
        <f t="shared" si="3"/>
        <v>1</v>
      </c>
      <c r="AB37" s="773">
        <f t="shared" si="4"/>
        <v>1</v>
      </c>
      <c r="AC37" s="773">
        <f t="shared" si="5"/>
        <v>1</v>
      </c>
    </row>
    <row r="38" spans="1:29" ht="15">
      <c r="A38" s="472"/>
      <c r="B38" s="422" t="s">
        <v>2649</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407" t="s">
        <v>2551</v>
      </c>
      <c r="Q38" s="1809" t="str">
        <f t="shared" si="11"/>
        <v>业态</v>
      </c>
      <c r="R38" s="774" t="s">
        <v>17</v>
      </c>
      <c r="S38" s="775">
        <f t="shared" si="12"/>
        <v>100</v>
      </c>
      <c r="T38" s="774" t="s">
        <v>17</v>
      </c>
      <c r="U38" s="775">
        <f t="shared" si="13"/>
        <v>100</v>
      </c>
      <c r="V38" s="774" t="s">
        <v>17</v>
      </c>
      <c r="W38" s="775">
        <f t="shared" si="14"/>
        <v>100</v>
      </c>
      <c r="X38" s="1812"/>
      <c r="Y38" s="3363" t="s">
        <v>2551</v>
      </c>
      <c r="Z38" s="1813" t="str">
        <f t="shared" si="15"/>
        <v>业态</v>
      </c>
      <c r="AA38" s="1810">
        <f t="shared" si="3"/>
        <v>1</v>
      </c>
      <c r="AB38" s="1810">
        <f t="shared" si="4"/>
        <v>1</v>
      </c>
      <c r="AC38" s="1810">
        <f t="shared" si="5"/>
        <v>1</v>
      </c>
    </row>
    <row r="39" spans="1:29" ht="15">
      <c r="A39" s="472"/>
      <c r="B39" s="422" t="s">
        <v>2650</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407"/>
      <c r="Q39" s="1809" t="str">
        <f t="shared" si="11"/>
        <v>层高</v>
      </c>
      <c r="R39" s="774" t="s">
        <v>17</v>
      </c>
      <c r="S39" s="775">
        <f t="shared" si="12"/>
        <v>100</v>
      </c>
      <c r="T39" s="774" t="s">
        <v>17</v>
      </c>
      <c r="U39" s="775">
        <f t="shared" si="13"/>
        <v>100</v>
      </c>
      <c r="V39" s="774" t="s">
        <v>17</v>
      </c>
      <c r="W39" s="775">
        <f t="shared" si="14"/>
        <v>100</v>
      </c>
      <c r="X39" s="1812"/>
      <c r="Y39" s="3363"/>
      <c r="Z39" s="1813" t="str">
        <f t="shared" si="15"/>
        <v>层高</v>
      </c>
      <c r="AA39" s="1810">
        <f t="shared" si="3"/>
        <v>1</v>
      </c>
      <c r="AB39" s="1810">
        <f t="shared" si="4"/>
        <v>1</v>
      </c>
      <c r="AC39" s="1810">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407"/>
      <c r="Q40" s="1809" t="str">
        <f t="shared" si="11"/>
        <v>单套建筑面积</v>
      </c>
      <c r="R40" s="774" t="s">
        <v>17</v>
      </c>
      <c r="S40" s="775">
        <f t="shared" si="12"/>
        <v>100</v>
      </c>
      <c r="T40" s="774" t="s">
        <v>17</v>
      </c>
      <c r="U40" s="775">
        <f t="shared" si="13"/>
        <v>100</v>
      </c>
      <c r="V40" s="774" t="s">
        <v>17</v>
      </c>
      <c r="W40" s="775">
        <f t="shared" si="14"/>
        <v>100</v>
      </c>
      <c r="X40" s="1812"/>
      <c r="Y40" s="3363"/>
      <c r="Z40" s="1813" t="str">
        <f t="shared" si="15"/>
        <v>单套建筑面积</v>
      </c>
      <c r="AA40" s="1810">
        <f t="shared" si="3"/>
        <v>1</v>
      </c>
      <c r="AB40" s="1810">
        <f t="shared" si="4"/>
        <v>1</v>
      </c>
      <c r="AC40" s="1810">
        <f t="shared" si="5"/>
        <v>1</v>
      </c>
    </row>
    <row r="41" spans="1:29" s="471" customFormat="1" ht="15">
      <c r="A41" s="468"/>
      <c r="B41" s="1811"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407"/>
      <c r="Q41" s="776" t="str">
        <f t="shared" si="11"/>
        <v>进深比</v>
      </c>
      <c r="R41" s="777" t="s">
        <v>17</v>
      </c>
      <c r="S41" s="778">
        <f t="shared" si="12"/>
        <v>100</v>
      </c>
      <c r="T41" s="777" t="s">
        <v>17</v>
      </c>
      <c r="U41" s="778">
        <f t="shared" si="13"/>
        <v>100</v>
      </c>
      <c r="V41" s="777" t="s">
        <v>17</v>
      </c>
      <c r="W41" s="778">
        <f t="shared" si="14"/>
        <v>100</v>
      </c>
      <c r="X41" s="779"/>
      <c r="Y41" s="3363"/>
      <c r="Z41" s="780" t="str">
        <f t="shared" si="15"/>
        <v>进深比</v>
      </c>
      <c r="AA41" s="1810">
        <f t="shared" si="3"/>
        <v>1</v>
      </c>
      <c r="AB41" s="1810">
        <f t="shared" si="4"/>
        <v>1</v>
      </c>
      <c r="AC41" s="1810">
        <f t="shared" si="5"/>
        <v>1</v>
      </c>
    </row>
    <row r="42" spans="1:29" ht="15">
      <c r="A42" s="472"/>
      <c r="B42" s="422" t="s">
        <v>2653</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407"/>
      <c r="Q42" s="1809" t="str">
        <f t="shared" si="11"/>
        <v>内部装修</v>
      </c>
      <c r="R42" s="774" t="s">
        <v>17</v>
      </c>
      <c r="S42" s="775">
        <f t="shared" si="12"/>
        <v>100</v>
      </c>
      <c r="T42" s="774" t="s">
        <v>17</v>
      </c>
      <c r="U42" s="775">
        <f t="shared" si="13"/>
        <v>100</v>
      </c>
      <c r="V42" s="774" t="s">
        <v>17</v>
      </c>
      <c r="W42" s="775">
        <f t="shared" si="14"/>
        <v>100</v>
      </c>
      <c r="X42" s="1812"/>
      <c r="Y42" s="3363"/>
      <c r="Z42" s="1813" t="str">
        <f t="shared" si="15"/>
        <v>内部装修</v>
      </c>
      <c r="AA42" s="1810">
        <f t="shared" si="3"/>
        <v>1</v>
      </c>
      <c r="AB42" s="1810">
        <f t="shared" si="4"/>
        <v>1</v>
      </c>
      <c r="AC42" s="1810">
        <f t="shared" si="5"/>
        <v>1</v>
      </c>
    </row>
    <row r="43" spans="1:29" ht="15">
      <c r="A43" s="472"/>
      <c r="B43" s="422" t="s">
        <v>2562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407"/>
      <c r="Q43" s="1809" t="str">
        <f t="shared" si="11"/>
        <v>内部装修维护情况</v>
      </c>
      <c r="R43" s="774" t="s">
        <v>17</v>
      </c>
      <c r="S43" s="775">
        <f t="shared" si="12"/>
        <v>100</v>
      </c>
      <c r="T43" s="774" t="s">
        <v>17</v>
      </c>
      <c r="U43" s="775">
        <f t="shared" si="13"/>
        <v>100</v>
      </c>
      <c r="V43" s="774" t="s">
        <v>17</v>
      </c>
      <c r="W43" s="775">
        <f t="shared" si="14"/>
        <v>100</v>
      </c>
      <c r="X43" s="1812"/>
      <c r="Y43" s="3363"/>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407"/>
      <c r="Q44" s="1794">
        <f t="shared" si="11"/>
        <v>111</v>
      </c>
      <c r="R44" s="770" t="s">
        <v>17</v>
      </c>
      <c r="S44" s="771">
        <f t="shared" si="12"/>
        <v>100</v>
      </c>
      <c r="T44" s="770" t="s">
        <v>17</v>
      </c>
      <c r="U44" s="771">
        <f t="shared" si="13"/>
        <v>100</v>
      </c>
      <c r="V44" s="770" t="s">
        <v>17</v>
      </c>
      <c r="W44" s="771">
        <f t="shared" si="14"/>
        <v>100</v>
      </c>
      <c r="X44" s="772"/>
      <c r="Y44" s="336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407"/>
      <c r="Q45" s="1809">
        <f t="shared" si="11"/>
        <v>111</v>
      </c>
      <c r="R45" s="774" t="s">
        <v>17</v>
      </c>
      <c r="S45" s="775">
        <f t="shared" si="12"/>
        <v>100</v>
      </c>
      <c r="T45" s="774" t="s">
        <v>17</v>
      </c>
      <c r="U45" s="775">
        <f t="shared" si="13"/>
        <v>100</v>
      </c>
      <c r="V45" s="774" t="s">
        <v>17</v>
      </c>
      <c r="W45" s="775">
        <f t="shared" si="14"/>
        <v>100</v>
      </c>
      <c r="X45" s="1812"/>
      <c r="Y45" s="3363"/>
      <c r="Z45" s="1813">
        <f t="shared" si="15"/>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408"/>
      <c r="Q46" s="1809">
        <f t="shared" si="11"/>
        <v>111</v>
      </c>
      <c r="R46" s="774" t="s">
        <v>17</v>
      </c>
      <c r="S46" s="775">
        <f t="shared" si="12"/>
        <v>100</v>
      </c>
      <c r="T46" s="774" t="s">
        <v>17</v>
      </c>
      <c r="U46" s="775">
        <f t="shared" si="13"/>
        <v>100</v>
      </c>
      <c r="V46" s="774" t="s">
        <v>17</v>
      </c>
      <c r="W46" s="775">
        <f t="shared" si="14"/>
        <v>100</v>
      </c>
      <c r="X46" s="1812"/>
      <c r="Y46" s="3409"/>
      <c r="Z46" s="1813">
        <f t="shared" si="15"/>
        <v>111</v>
      </c>
      <c r="AA46" s="1810">
        <f t="shared" si="3"/>
        <v>1</v>
      </c>
      <c r="AB46" s="1810">
        <f t="shared" si="4"/>
        <v>1</v>
      </c>
      <c r="AC46" s="1810">
        <f t="shared" si="5"/>
        <v>1</v>
      </c>
    </row>
    <row r="47" spans="1:29" ht="15">
      <c r="A47" s="479" t="s">
        <v>2563</v>
      </c>
      <c r="B47" s="480"/>
      <c r="C47" s="1407" t="s">
        <v>1</v>
      </c>
      <c r="D47" s="1408"/>
      <c r="E47" s="1409"/>
      <c r="F47" s="1410"/>
      <c r="G47" s="1411"/>
      <c r="H47" s="1412"/>
      <c r="I47" s="1409"/>
      <c r="J47" s="1412"/>
      <c r="K47" s="783"/>
      <c r="L47" s="1143"/>
      <c r="M47" s="1144"/>
      <c r="N47" s="1131"/>
      <c r="O47" s="1144"/>
      <c r="P47" s="3345" t="str">
        <f>A47</f>
        <v>成交单价（元/平方米）</v>
      </c>
      <c r="Q47" s="3345"/>
      <c r="R47" s="3358">
        <f>E47</f>
        <v>0</v>
      </c>
      <c r="S47" s="3358"/>
      <c r="T47" s="3358">
        <f>G47</f>
        <v>0</v>
      </c>
      <c r="U47" s="3358"/>
      <c r="V47" s="3358">
        <f>I47</f>
        <v>0</v>
      </c>
      <c r="W47" s="3358"/>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345" t="str">
        <f>A48</f>
        <v>比较价值（元/平方米）</v>
      </c>
      <c r="Q48" s="3345"/>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365" t="str">
        <f>A49</f>
        <v>估价对象XX用房的比较价值（楼面单价，元/平方米）</v>
      </c>
      <c r="Q49" s="3366"/>
      <c r="R49" s="3404" t="e">
        <f>IF(F1="售价",ROUND(AVERAGE(R48:V48),0),ROUND(AVERAGE(R48:V48),1))</f>
        <v>#DIV/0!</v>
      </c>
      <c r="S49" s="3404"/>
      <c r="T49" s="3404"/>
      <c r="U49" s="3404"/>
      <c r="V49" s="3404"/>
      <c r="W49" s="34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1"/>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1"/>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62"/>
      <c r="Q57" s="2663"/>
      <c r="R57" s="759"/>
      <c r="S57" s="759"/>
      <c r="T57" s="759"/>
      <c r="U57" s="759"/>
      <c r="V57" s="759"/>
      <c r="W57" s="759"/>
      <c r="X57" s="759"/>
      <c r="Y57" s="759"/>
      <c r="Z57" s="759"/>
      <c r="AA57" s="759"/>
      <c r="AB57" s="759"/>
      <c r="AC57" s="759"/>
    </row>
    <row r="58" spans="1:29" s="508" customFormat="1" ht="15">
      <c r="A58" s="505" t="s">
        <v>2534</v>
      </c>
      <c r="B58" s="506"/>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7" customFormat="1" ht="15">
      <c r="A59" s="509"/>
      <c r="B59" s="510"/>
      <c r="C59" s="1572">
        <v>100</v>
      </c>
      <c r="D59" s="512"/>
      <c r="E59" s="512"/>
      <c r="F59" s="512"/>
      <c r="G59" s="512"/>
      <c r="H59" s="512"/>
      <c r="I59" s="512"/>
      <c r="J59" s="512"/>
      <c r="K59" s="512"/>
      <c r="L59" s="512"/>
      <c r="M59" s="513"/>
      <c r="N59" s="512"/>
      <c r="O59" s="513"/>
      <c r="P59" s="2623"/>
    </row>
    <row r="60" spans="1:29" s="117" customFormat="1" ht="15.75" thickBot="1">
      <c r="A60" s="515" t="s">
        <v>2570</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2637</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2573</v>
      </c>
      <c r="B63" s="528" t="s">
        <v>2540</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2574</v>
      </c>
      <c r="D65" s="539" t="s">
        <v>2575</v>
      </c>
      <c r="E65" s="539" t="s">
        <v>2576</v>
      </c>
      <c r="F65" s="539" t="s">
        <v>2577</v>
      </c>
      <c r="G65" s="539" t="s">
        <v>2578</v>
      </c>
      <c r="H65" s="539" t="s">
        <v>2579</v>
      </c>
      <c r="I65" s="539" t="s">
        <v>2580</v>
      </c>
      <c r="J65" s="539"/>
      <c r="K65" s="540"/>
      <c r="L65" s="541"/>
      <c r="M65" s="542"/>
      <c r="N65" s="1152"/>
      <c r="O65" s="1152"/>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5"/>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2581</v>
      </c>
      <c r="C76" s="573" t="s">
        <v>2582</v>
      </c>
      <c r="D76" s="573" t="s">
        <v>2583</v>
      </c>
      <c r="E76" s="573" t="s">
        <v>2584</v>
      </c>
      <c r="F76" s="573" t="s">
        <v>2585</v>
      </c>
      <c r="G76" s="573" t="s">
        <v>2586</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5"/>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2665</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1"/>
      <c r="O88" s="1151"/>
      <c r="P88" s="2625"/>
      <c r="Q88" s="504"/>
    </row>
    <row r="89" spans="1:17" s="117" customFormat="1" ht="15.75" thickBot="1">
      <c r="A89" s="579"/>
      <c r="B89" s="543"/>
      <c r="C89" s="560"/>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6"/>
      <c r="Q91" s="559"/>
    </row>
    <row r="92" spans="1:17" ht="15.75" thickTop="1">
      <c r="A92" s="534"/>
      <c r="B92" s="538" t="str">
        <f>B28</f>
        <v>楼层</v>
      </c>
      <c r="C92" s="554"/>
      <c r="D92" s="554"/>
      <c r="E92" s="554"/>
      <c r="F92" s="554"/>
      <c r="G92" s="554"/>
      <c r="H92" s="554"/>
      <c r="I92" s="554"/>
      <c r="J92" s="554"/>
      <c r="K92" s="554"/>
      <c r="L92" s="580"/>
      <c r="M92" s="581"/>
      <c r="N92" s="1152"/>
      <c r="O92" s="1152"/>
      <c r="P92" s="2625"/>
      <c r="Q92" s="504"/>
    </row>
    <row r="93" spans="1:17" ht="15.75" thickBot="1">
      <c r="A93" s="534"/>
      <c r="B93" s="543"/>
      <c r="C93" s="536"/>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2666</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5"/>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6"/>
      <c r="Q104" s="559"/>
    </row>
    <row r="105" spans="1:17" ht="15" thickTop="1">
      <c r="A105" s="599"/>
      <c r="B105" s="538" t="s">
        <v>2599</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5"/>
      <c r="Q106" s="504"/>
    </row>
    <row r="107" spans="1:17" ht="15" thickTop="1">
      <c r="A107" s="599"/>
      <c r="B107" s="538" t="s">
        <v>2601</v>
      </c>
      <c r="C107" s="554"/>
      <c r="D107" s="554"/>
      <c r="E107" s="554"/>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5"/>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6"/>
      <c r="Q113" s="559"/>
    </row>
    <row r="114" spans="1:17" ht="15" thickTop="1">
      <c r="A114" s="599"/>
      <c r="B114" s="538" t="s">
        <v>2667</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5"/>
      <c r="Q115" s="504"/>
    </row>
    <row r="116" spans="1:17" ht="15" thickTop="1">
      <c r="A116" s="599"/>
      <c r="B116" s="538" t="s">
        <v>2668</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2669</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6"/>
      <c r="Q121" s="559"/>
    </row>
    <row r="122" spans="1:17" ht="15" thickTop="1">
      <c r="A122" s="599"/>
      <c r="B122" s="538" t="s">
        <v>2605</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5"/>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2671</v>
      </c>
      <c r="C1" s="1619" t="s">
        <v>2516</v>
      </c>
      <c r="D1" s="1620"/>
      <c r="E1" s="1629"/>
      <c r="F1" s="2580"/>
      <c r="G1" s="1630" t="s">
        <v>2628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2629</v>
      </c>
      <c r="D3" s="399">
        <f>IF(D1="",'数据-汇总表'!E3,SUMIF('数据-汇总表'!$C19:$C33,D1,'数据-汇总表'!$E19:$E33))</f>
        <v>38206.339999999997</v>
      </c>
      <c r="E3" s="2658"/>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346" t="s">
        <v>2631</v>
      </c>
      <c r="D4" s="3347"/>
      <c r="E4" s="3348" t="s">
        <v>2632</v>
      </c>
      <c r="F4" s="3349"/>
      <c r="G4" s="3346" t="s">
        <v>2633</v>
      </c>
      <c r="H4" s="3347"/>
      <c r="I4" s="3346" t="s">
        <v>2634</v>
      </c>
      <c r="J4" s="3347"/>
      <c r="K4" s="610" t="s">
        <v>2635</v>
      </c>
      <c r="L4" s="1130"/>
      <c r="M4" s="1131"/>
      <c r="N4" s="1131"/>
      <c r="O4" s="1131"/>
      <c r="P4" s="3418" t="s">
        <v>2636</v>
      </c>
      <c r="Q4" s="3419"/>
      <c r="R4" s="3413" t="s">
        <v>2632</v>
      </c>
      <c r="S4" s="3414"/>
      <c r="T4" s="3413" t="s">
        <v>2633</v>
      </c>
      <c r="U4" s="3414"/>
      <c r="V4" s="3422" t="s">
        <v>2634</v>
      </c>
      <c r="W4" s="3422"/>
      <c r="X4" s="2665"/>
      <c r="Y4" s="3413" t="s">
        <v>2636</v>
      </c>
      <c r="Z4" s="3414"/>
      <c r="AA4" s="3412" t="s">
        <v>2632</v>
      </c>
      <c r="AB4" s="3412" t="s">
        <v>2633</v>
      </c>
      <c r="AC4" s="3415" t="s">
        <v>2634</v>
      </c>
    </row>
    <row r="5" spans="1:29" ht="15">
      <c r="A5" s="404"/>
      <c r="B5" s="405"/>
      <c r="C5" s="3339" t="s">
        <v>2528</v>
      </c>
      <c r="D5" s="3340"/>
      <c r="E5" s="3337" t="s">
        <v>2529</v>
      </c>
      <c r="F5" s="3338"/>
      <c r="G5" s="3339" t="s">
        <v>2530</v>
      </c>
      <c r="H5" s="3340"/>
      <c r="I5" s="3339" t="s">
        <v>2531</v>
      </c>
      <c r="J5" s="3340"/>
      <c r="K5" s="610"/>
      <c r="L5" s="1130"/>
      <c r="M5" s="1131"/>
      <c r="N5" s="1131"/>
      <c r="O5" s="1131"/>
      <c r="P5" s="3420"/>
      <c r="Q5" s="3353"/>
      <c r="R5" s="3335"/>
      <c r="S5" s="3336"/>
      <c r="T5" s="3335"/>
      <c r="U5" s="3336"/>
      <c r="V5" s="3358"/>
      <c r="W5" s="3358"/>
      <c r="X5" s="1812"/>
      <c r="Y5" s="3335"/>
      <c r="Z5" s="3336"/>
      <c r="AA5" s="3329"/>
      <c r="AB5" s="3329"/>
      <c r="AC5" s="3416"/>
    </row>
    <row r="6" spans="1:29" ht="15.75" thickBot="1">
      <c r="A6" s="406"/>
      <c r="B6" s="407"/>
      <c r="C6" s="3341" t="s">
        <v>2532</v>
      </c>
      <c r="D6" s="3342"/>
      <c r="E6" s="3343" t="s">
        <v>2532</v>
      </c>
      <c r="F6" s="3344"/>
      <c r="G6" s="3341" t="s">
        <v>2532</v>
      </c>
      <c r="H6" s="3342"/>
      <c r="I6" s="3341" t="s">
        <v>2532</v>
      </c>
      <c r="J6" s="3342"/>
      <c r="K6" s="610" t="s">
        <v>2533</v>
      </c>
      <c r="L6" s="1130"/>
      <c r="M6" s="1131"/>
      <c r="N6" s="1131"/>
      <c r="O6" s="1131"/>
      <c r="P6" s="3421"/>
      <c r="Q6" s="3355"/>
      <c r="R6" s="3335"/>
      <c r="S6" s="3336"/>
      <c r="T6" s="3356"/>
      <c r="U6" s="3357"/>
      <c r="V6" s="3358"/>
      <c r="W6" s="3358"/>
      <c r="X6" s="1812"/>
      <c r="Y6" s="3356"/>
      <c r="Z6" s="3357"/>
      <c r="AA6" s="3330"/>
      <c r="AB6" s="3330"/>
      <c r="AC6" s="3417"/>
    </row>
    <row r="7" spans="1:29" s="117" customFormat="1" ht="15.75" thickBot="1">
      <c r="A7" s="408" t="s">
        <v>2534</v>
      </c>
      <c r="B7" s="409"/>
      <c r="C7" s="410">
        <f>'数据-取费表'!B2</f>
        <v>43755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423" t="s">
        <v>2535</v>
      </c>
      <c r="Q7" s="3359"/>
      <c r="R7" s="770" t="s">
        <v>17</v>
      </c>
      <c r="S7" s="771">
        <f t="shared" ref="S7:S15" si="0">F7</f>
        <v>0</v>
      </c>
      <c r="T7" s="770" t="s">
        <v>17</v>
      </c>
      <c r="U7" s="771">
        <f t="shared" ref="U7:U15" si="1">H7</f>
        <v>0</v>
      </c>
      <c r="V7" s="770" t="s">
        <v>17</v>
      </c>
      <c r="W7" s="771">
        <f t="shared" ref="W7:W15" si="2">J7</f>
        <v>0</v>
      </c>
      <c r="X7" s="772"/>
      <c r="Y7" s="3331" t="s">
        <v>2535</v>
      </c>
      <c r="Z7" s="3332"/>
      <c r="AA7" s="773" t="e">
        <f>D7/F7</f>
        <v>#DIV/0!</v>
      </c>
      <c r="AB7" s="773" t="e">
        <f>D7/H7</f>
        <v>#DIV/0!</v>
      </c>
      <c r="AC7" s="2666" t="e">
        <f>D7/J7</f>
        <v>#DIV/0!</v>
      </c>
    </row>
    <row r="8" spans="1:29" s="117" customFormat="1" ht="15.75" thickBot="1">
      <c r="A8" s="408" t="s">
        <v>2536</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423" t="s">
        <v>2538</v>
      </c>
      <c r="Q8" s="3332"/>
      <c r="R8" s="770" t="s">
        <v>17</v>
      </c>
      <c r="S8" s="771">
        <f t="shared" si="0"/>
        <v>0</v>
      </c>
      <c r="T8" s="770" t="s">
        <v>17</v>
      </c>
      <c r="U8" s="771">
        <f t="shared" si="1"/>
        <v>0</v>
      </c>
      <c r="V8" s="770" t="s">
        <v>17</v>
      </c>
      <c r="W8" s="771">
        <f t="shared" si="2"/>
        <v>0</v>
      </c>
      <c r="X8" s="772"/>
      <c r="Y8" s="3331" t="s">
        <v>2538</v>
      </c>
      <c r="Z8" s="3332"/>
      <c r="AA8" s="773" t="e">
        <f t="shared" ref="AA8:AA47" si="3">D8/F8</f>
        <v>#DIV/0!</v>
      </c>
      <c r="AB8" s="773"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69" t="s">
        <v>2541</v>
      </c>
      <c r="Q9" s="1794" t="str">
        <f t="shared" ref="Q9:Q15" si="6">B9</f>
        <v>用途</v>
      </c>
      <c r="R9" s="770" t="s">
        <v>17</v>
      </c>
      <c r="S9" s="771">
        <f t="shared" si="0"/>
        <v>100</v>
      </c>
      <c r="T9" s="770" t="s">
        <v>17</v>
      </c>
      <c r="U9" s="771">
        <f t="shared" si="1"/>
        <v>100</v>
      </c>
      <c r="V9" s="770" t="s">
        <v>17</v>
      </c>
      <c r="W9" s="771">
        <f t="shared" si="2"/>
        <v>100</v>
      </c>
      <c r="X9" s="772"/>
      <c r="Y9" s="3147" t="s">
        <v>2542</v>
      </c>
      <c r="Z9" s="55" t="str">
        <f t="shared" ref="Z9:Z15" si="7">Q9</f>
        <v>用途</v>
      </c>
      <c r="AA9" s="773">
        <f t="shared" si="3"/>
        <v>1</v>
      </c>
      <c r="AB9" s="773">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69"/>
      <c r="Q10" s="1794"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69"/>
      <c r="Q11" s="1794" t="str">
        <f t="shared" si="6"/>
        <v>容积率</v>
      </c>
      <c r="R11" s="770" t="s">
        <v>17</v>
      </c>
      <c r="S11" s="771" t="e">
        <f t="shared" si="0"/>
        <v>#N/A</v>
      </c>
      <c r="T11" s="770" t="s">
        <v>17</v>
      </c>
      <c r="U11" s="771" t="e">
        <f t="shared" si="1"/>
        <v>#N/A</v>
      </c>
      <c r="V11" s="770" t="s">
        <v>17</v>
      </c>
      <c r="W11" s="771" t="e">
        <f t="shared" si="2"/>
        <v>#N/A</v>
      </c>
      <c r="X11" s="772"/>
      <c r="Y11" s="3147"/>
      <c r="Z11" s="55" t="str">
        <f t="shared" si="7"/>
        <v>容积率</v>
      </c>
      <c r="AA11" s="773" t="e">
        <f t="shared" si="3"/>
        <v>#N/A</v>
      </c>
      <c r="AB11" s="773" t="e">
        <f t="shared" si="4"/>
        <v>#N/A</v>
      </c>
      <c r="AC11" s="2666" t="e">
        <f t="shared" si="5"/>
        <v>#N/A</v>
      </c>
    </row>
    <row r="12" spans="1:29" s="117" customFormat="1" ht="15">
      <c r="A12" s="431"/>
      <c r="B12" s="2596">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369"/>
      <c r="Q12" s="1794">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2666">
        <f>D12/J12</f>
        <v>1</v>
      </c>
    </row>
    <row r="13" spans="1:29" ht="15">
      <c r="A13" s="428"/>
      <c r="B13" s="2596">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369"/>
      <c r="Q13" s="1794">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2666">
        <f t="shared" si="5"/>
        <v>1</v>
      </c>
    </row>
    <row r="14" spans="1:29" ht="15.75" thickBot="1">
      <c r="A14" s="436"/>
      <c r="B14" s="2598">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369"/>
      <c r="Q14" s="1794">
        <f t="shared" si="6"/>
        <v>111</v>
      </c>
      <c r="R14" s="770" t="s">
        <v>17</v>
      </c>
      <c r="S14" s="771">
        <f t="shared" si="0"/>
        <v>100</v>
      </c>
      <c r="T14" s="770" t="s">
        <v>17</v>
      </c>
      <c r="U14" s="771">
        <f t="shared" si="1"/>
        <v>100</v>
      </c>
      <c r="V14" s="770" t="s">
        <v>17</v>
      </c>
      <c r="W14" s="771">
        <f t="shared" si="2"/>
        <v>100</v>
      </c>
      <c r="X14" s="772"/>
      <c r="Y14" s="3147"/>
      <c r="Z14" s="55">
        <f t="shared" si="7"/>
        <v>111</v>
      </c>
      <c r="AA14" s="773">
        <f t="shared" si="3"/>
        <v>1</v>
      </c>
      <c r="AB14" s="773">
        <f t="shared" si="4"/>
        <v>1</v>
      </c>
      <c r="AC14" s="2666">
        <f t="shared" si="5"/>
        <v>1</v>
      </c>
    </row>
    <row r="15" spans="1:29" ht="15">
      <c r="A15" s="440" t="s">
        <v>2545</v>
      </c>
      <c r="B15" s="629" t="s">
        <v>2672</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410" t="s">
        <v>2546</v>
      </c>
      <c r="Q15" s="1809" t="str">
        <f t="shared" si="6"/>
        <v>办公集聚程度</v>
      </c>
      <c r="R15" s="774" t="s">
        <v>17</v>
      </c>
      <c r="S15" s="775">
        <f t="shared" si="0"/>
        <v>100</v>
      </c>
      <c r="T15" s="774" t="s">
        <v>17</v>
      </c>
      <c r="U15" s="775">
        <f t="shared" si="1"/>
        <v>100</v>
      </c>
      <c r="V15" s="774" t="s">
        <v>17</v>
      </c>
      <c r="W15" s="775">
        <f t="shared" si="2"/>
        <v>100</v>
      </c>
      <c r="X15" s="1812"/>
      <c r="Y15" s="3360" t="s">
        <v>2546</v>
      </c>
      <c r="Z15" s="1813" t="str">
        <f t="shared" si="7"/>
        <v>办公集聚程度</v>
      </c>
      <c r="AA15" s="1810">
        <f t="shared" si="3"/>
        <v>1</v>
      </c>
      <c r="AB15" s="1810">
        <f t="shared" si="4"/>
        <v>1</v>
      </c>
      <c r="AC15" s="2669">
        <f t="shared" si="5"/>
        <v>1</v>
      </c>
    </row>
    <row r="16" spans="1:29" ht="15">
      <c r="A16" s="428"/>
      <c r="B16" s="630"/>
      <c r="C16" s="2607"/>
      <c r="D16" s="448"/>
      <c r="E16" s="447"/>
      <c r="F16" s="448"/>
      <c r="G16" s="2607"/>
      <c r="H16" s="450"/>
      <c r="I16" s="447"/>
      <c r="J16" s="448"/>
      <c r="K16" s="615"/>
      <c r="L16" s="1140"/>
      <c r="M16" s="1131"/>
      <c r="N16" s="1131"/>
      <c r="O16" s="1131"/>
      <c r="P16" s="3411"/>
      <c r="Q16" s="1809"/>
      <c r="R16" s="774"/>
      <c r="S16" s="775"/>
      <c r="T16" s="774"/>
      <c r="U16" s="775"/>
      <c r="V16" s="774"/>
      <c r="W16" s="775"/>
      <c r="X16" s="1812"/>
      <c r="Y16" s="3361"/>
      <c r="Z16" s="1813"/>
      <c r="AA16" s="1810">
        <v>1</v>
      </c>
      <c r="AB16" s="1810">
        <v>1</v>
      </c>
      <c r="AC16" s="2669">
        <v>1</v>
      </c>
    </row>
    <row r="17" spans="1:29" ht="15">
      <c r="A17" s="428"/>
      <c r="B17" s="631" t="s">
        <v>2088</v>
      </c>
      <c r="C17" s="2670"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411"/>
      <c r="Q17" s="1809" t="str">
        <f>B17</f>
        <v>交通便捷度</v>
      </c>
      <c r="R17" s="774" t="s">
        <v>17</v>
      </c>
      <c r="S17" s="775">
        <f>F17</f>
        <v>100</v>
      </c>
      <c r="T17" s="774" t="s">
        <v>17</v>
      </c>
      <c r="U17" s="775">
        <f>H17</f>
        <v>100</v>
      </c>
      <c r="V17" s="774" t="s">
        <v>17</v>
      </c>
      <c r="W17" s="775">
        <f>J17</f>
        <v>100</v>
      </c>
      <c r="X17" s="1812"/>
      <c r="Y17" s="3361"/>
      <c r="Z17" s="1813" t="str">
        <f>Q17</f>
        <v>交通便捷度</v>
      </c>
      <c r="AA17" s="1810">
        <f t="shared" si="3"/>
        <v>1</v>
      </c>
      <c r="AB17" s="1810">
        <f t="shared" si="4"/>
        <v>1</v>
      </c>
      <c r="AC17" s="2669">
        <f t="shared" si="5"/>
        <v>1</v>
      </c>
    </row>
    <row r="18" spans="1:29" ht="15">
      <c r="A18" s="428"/>
      <c r="B18" s="632"/>
      <c r="C18" s="2671"/>
      <c r="D18" s="450"/>
      <c r="E18" s="2605"/>
      <c r="F18" s="450"/>
      <c r="G18" s="2606"/>
      <c r="H18" s="448"/>
      <c r="I18" s="2606"/>
      <c r="J18" s="448"/>
      <c r="K18" s="615"/>
      <c r="L18" s="1140"/>
      <c r="M18" s="1131"/>
      <c r="N18" s="1131"/>
      <c r="O18" s="1131"/>
      <c r="P18" s="3411"/>
      <c r="Q18" s="1809"/>
      <c r="R18" s="774"/>
      <c r="S18" s="775"/>
      <c r="T18" s="774"/>
      <c r="U18" s="775"/>
      <c r="V18" s="774"/>
      <c r="W18" s="775"/>
      <c r="X18" s="1812"/>
      <c r="Y18" s="3361"/>
      <c r="Z18" s="1813"/>
      <c r="AA18" s="1810">
        <v>1</v>
      </c>
      <c r="AB18" s="1810">
        <v>1</v>
      </c>
      <c r="AC18" s="2669">
        <v>1</v>
      </c>
    </row>
    <row r="19" spans="1:29" ht="15">
      <c r="A19" s="428"/>
      <c r="B19" s="631" t="s">
        <v>2673</v>
      </c>
      <c r="C19" s="2670"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411"/>
      <c r="Q19" s="1809" t="str">
        <f>B19</f>
        <v>公共配套设施</v>
      </c>
      <c r="R19" s="774" t="s">
        <v>17</v>
      </c>
      <c r="S19" s="775">
        <f>F19</f>
        <v>100</v>
      </c>
      <c r="T19" s="774" t="s">
        <v>17</v>
      </c>
      <c r="U19" s="775">
        <f>H19</f>
        <v>100</v>
      </c>
      <c r="V19" s="774" t="s">
        <v>17</v>
      </c>
      <c r="W19" s="775">
        <f>J19</f>
        <v>100</v>
      </c>
      <c r="X19" s="1812"/>
      <c r="Y19" s="3361"/>
      <c r="Z19" s="1813" t="str">
        <f>Q19</f>
        <v>公共配套设施</v>
      </c>
      <c r="AA19" s="1810">
        <f t="shared" si="3"/>
        <v>1</v>
      </c>
      <c r="AB19" s="1810">
        <f t="shared" si="4"/>
        <v>1</v>
      </c>
      <c r="AC19" s="2669">
        <f t="shared" si="5"/>
        <v>1</v>
      </c>
    </row>
    <row r="20" spans="1:29" ht="15">
      <c r="A20" s="428"/>
      <c r="B20" s="632"/>
      <c r="C20" s="2607"/>
      <c r="D20" s="448"/>
      <c r="E20" s="2600"/>
      <c r="F20" s="448"/>
      <c r="G20" s="2601"/>
      <c r="H20" s="448"/>
      <c r="I20" s="2601"/>
      <c r="J20" s="448"/>
      <c r="K20" s="615"/>
      <c r="L20" s="1140"/>
      <c r="M20" s="1131"/>
      <c r="N20" s="1131"/>
      <c r="O20" s="1131"/>
      <c r="P20" s="3411"/>
      <c r="Q20" s="1809"/>
      <c r="R20" s="774"/>
      <c r="S20" s="775"/>
      <c r="T20" s="774"/>
      <c r="U20" s="775"/>
      <c r="V20" s="774"/>
      <c r="W20" s="775"/>
      <c r="X20" s="1812"/>
      <c r="Y20" s="3361"/>
      <c r="Z20" s="1813"/>
      <c r="AA20" s="1810">
        <v>1</v>
      </c>
      <c r="AB20" s="1810">
        <v>1</v>
      </c>
      <c r="AC20" s="2669">
        <v>1</v>
      </c>
    </row>
    <row r="21" spans="1:29" ht="15">
      <c r="A21" s="428"/>
      <c r="B21" s="633" t="s">
        <v>2674</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411"/>
      <c r="Q21" s="1809" t="str">
        <f>B21</f>
        <v>基础设施水平</v>
      </c>
      <c r="R21" s="774" t="s">
        <v>17</v>
      </c>
      <c r="S21" s="775">
        <f>F21</f>
        <v>100</v>
      </c>
      <c r="T21" s="774" t="s">
        <v>17</v>
      </c>
      <c r="U21" s="775">
        <f>H21</f>
        <v>100</v>
      </c>
      <c r="V21" s="774" t="s">
        <v>17</v>
      </c>
      <c r="W21" s="775">
        <f>J21</f>
        <v>100</v>
      </c>
      <c r="X21" s="1812"/>
      <c r="Y21" s="3361"/>
      <c r="Z21" s="1813" t="str">
        <f>Q21</f>
        <v>基础设施水平</v>
      </c>
      <c r="AA21" s="1810">
        <f t="shared" ref="AA21" si="8">D21/F21</f>
        <v>1</v>
      </c>
      <c r="AB21" s="1810">
        <f t="shared" ref="AB21" si="9">D21/H21</f>
        <v>1</v>
      </c>
      <c r="AC21" s="2669">
        <f t="shared" ref="AC21" si="10">D21/J21</f>
        <v>1</v>
      </c>
    </row>
    <row r="22" spans="1:29" ht="15">
      <c r="A22" s="428"/>
      <c r="B22" s="633"/>
      <c r="C22" s="2671"/>
      <c r="D22" s="448"/>
      <c r="E22" s="447"/>
      <c r="F22" s="448"/>
      <c r="G22" s="2607"/>
      <c r="H22" s="448"/>
      <c r="I22" s="2607"/>
      <c r="J22" s="448"/>
      <c r="K22" s="1383"/>
      <c r="L22" s="1140"/>
      <c r="M22" s="1131"/>
      <c r="N22" s="1131"/>
      <c r="O22" s="1131"/>
      <c r="P22" s="3411"/>
      <c r="Q22" s="1809"/>
      <c r="R22" s="774"/>
      <c r="S22" s="775"/>
      <c r="T22" s="774"/>
      <c r="U22" s="775"/>
      <c r="V22" s="774"/>
      <c r="W22" s="775"/>
      <c r="X22" s="1812"/>
      <c r="Y22" s="3361"/>
      <c r="Z22" s="1813"/>
      <c r="AA22" s="1810">
        <v>1</v>
      </c>
      <c r="AB22" s="1810">
        <v>1</v>
      </c>
      <c r="AC22" s="2669">
        <v>1</v>
      </c>
    </row>
    <row r="23" spans="1:29" ht="15">
      <c r="A23" s="428"/>
      <c r="B23" s="631" t="s">
        <v>2675</v>
      </c>
      <c r="C23" s="2670"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411"/>
      <c r="Q23" s="1809" t="str">
        <f>B23</f>
        <v>环境质量</v>
      </c>
      <c r="R23" s="774" t="s">
        <v>17</v>
      </c>
      <c r="S23" s="775">
        <f>F23</f>
        <v>100</v>
      </c>
      <c r="T23" s="774" t="s">
        <v>17</v>
      </c>
      <c r="U23" s="775">
        <f>H23</f>
        <v>100</v>
      </c>
      <c r="V23" s="774" t="s">
        <v>17</v>
      </c>
      <c r="W23" s="775">
        <f>J23</f>
        <v>100</v>
      </c>
      <c r="X23" s="1812"/>
      <c r="Y23" s="3361"/>
      <c r="Z23" s="1813" t="str">
        <f>Q23</f>
        <v>环境质量</v>
      </c>
      <c r="AA23" s="1810">
        <f t="shared" si="3"/>
        <v>1</v>
      </c>
      <c r="AB23" s="1810">
        <f t="shared" si="4"/>
        <v>1</v>
      </c>
      <c r="AC23" s="2669">
        <f t="shared" si="5"/>
        <v>1</v>
      </c>
    </row>
    <row r="24" spans="1:29" ht="15">
      <c r="A24" s="428"/>
      <c r="B24" s="633"/>
      <c r="C24" s="2607"/>
      <c r="D24" s="448"/>
      <c r="E24" s="2600"/>
      <c r="F24" s="448"/>
      <c r="G24" s="2601"/>
      <c r="H24" s="448"/>
      <c r="I24" s="2601"/>
      <c r="J24" s="448"/>
      <c r="K24" s="615"/>
      <c r="L24" s="1140"/>
      <c r="M24" s="1131"/>
      <c r="N24" s="1131"/>
      <c r="O24" s="1131"/>
      <c r="P24" s="3411"/>
      <c r="Q24" s="1809"/>
      <c r="R24" s="774"/>
      <c r="S24" s="775"/>
      <c r="T24" s="774"/>
      <c r="U24" s="775"/>
      <c r="V24" s="774"/>
      <c r="W24" s="775"/>
      <c r="X24" s="1812"/>
      <c r="Y24" s="3361"/>
      <c r="Z24" s="1813"/>
      <c r="AA24" s="1810">
        <v>1</v>
      </c>
      <c r="AB24" s="1810">
        <v>1</v>
      </c>
      <c r="AC24" s="2669">
        <v>1</v>
      </c>
    </row>
    <row r="25" spans="1:29" ht="27">
      <c r="A25" s="404"/>
      <c r="B25" s="631" t="s">
        <v>2676</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411"/>
      <c r="Q25" s="1809" t="str">
        <f>B25</f>
        <v>毗邻道路的类型与等级</v>
      </c>
      <c r="R25" s="774" t="s">
        <v>17</v>
      </c>
      <c r="S25" s="775">
        <f>F25</f>
        <v>100</v>
      </c>
      <c r="T25" s="774" t="s">
        <v>17</v>
      </c>
      <c r="U25" s="775">
        <f>H25</f>
        <v>100</v>
      </c>
      <c r="V25" s="774" t="s">
        <v>17</v>
      </c>
      <c r="W25" s="775">
        <f>J25</f>
        <v>100</v>
      </c>
      <c r="X25" s="1812"/>
      <c r="Y25" s="3361"/>
      <c r="Z25" s="1813" t="str">
        <f>Q25</f>
        <v>毗邻道路的类型与等级</v>
      </c>
      <c r="AA25" s="1810">
        <f t="shared" si="3"/>
        <v>1</v>
      </c>
      <c r="AB25" s="1810">
        <f t="shared" si="4"/>
        <v>1</v>
      </c>
      <c r="AC25" s="2669">
        <f t="shared" si="5"/>
        <v>1</v>
      </c>
    </row>
    <row r="26" spans="1:29" ht="15">
      <c r="A26" s="404"/>
      <c r="B26" s="632"/>
      <c r="C26" s="634"/>
      <c r="D26" s="435"/>
      <c r="E26" s="616"/>
      <c r="F26" s="435"/>
      <c r="G26" s="634"/>
      <c r="H26" s="435"/>
      <c r="I26" s="616"/>
      <c r="J26" s="435"/>
      <c r="K26" s="615"/>
      <c r="L26" s="1140"/>
      <c r="M26" s="1131"/>
      <c r="N26" s="1131"/>
      <c r="O26" s="1131"/>
      <c r="P26" s="3411"/>
      <c r="Q26" s="1809"/>
      <c r="R26" s="774"/>
      <c r="S26" s="775"/>
      <c r="T26" s="774"/>
      <c r="U26" s="775"/>
      <c r="V26" s="774"/>
      <c r="W26" s="775"/>
      <c r="X26" s="1812"/>
      <c r="Y26" s="3361"/>
      <c r="Z26" s="1813"/>
      <c r="AA26" s="1810">
        <v>1</v>
      </c>
      <c r="AB26" s="1810">
        <v>1</v>
      </c>
      <c r="AC26" s="2669">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411"/>
      <c r="Q27" s="1809" t="str">
        <f t="shared" ref="Q27:Q47" si="11">B27</f>
        <v>楼层</v>
      </c>
      <c r="R27" s="774" t="s">
        <v>17</v>
      </c>
      <c r="S27" s="775">
        <f>F27</f>
        <v>100</v>
      </c>
      <c r="T27" s="774" t="s">
        <v>17</v>
      </c>
      <c r="U27" s="775">
        <f>H27</f>
        <v>100</v>
      </c>
      <c r="V27" s="774" t="s">
        <v>17</v>
      </c>
      <c r="W27" s="775">
        <f>J27</f>
        <v>100</v>
      </c>
      <c r="X27" s="1812"/>
      <c r="Y27" s="3361"/>
      <c r="Z27" s="1813" t="str">
        <f>Q27</f>
        <v>楼层</v>
      </c>
      <c r="AA27" s="1810">
        <f t="shared" si="3"/>
        <v>1</v>
      </c>
      <c r="AB27" s="1810">
        <f t="shared" si="4"/>
        <v>1</v>
      </c>
      <c r="AC27" s="2669">
        <f t="shared" si="5"/>
        <v>1</v>
      </c>
    </row>
    <row r="28" spans="1:29" s="117" customFormat="1" ht="15">
      <c r="A28" s="431"/>
      <c r="B28" s="631" t="s">
        <v>2677</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411"/>
      <c r="Q28" s="1794" t="str">
        <f t="shared" si="11"/>
        <v>朝向</v>
      </c>
      <c r="R28" s="770" t="s">
        <v>17</v>
      </c>
      <c r="S28" s="771">
        <f>F28</f>
        <v>100</v>
      </c>
      <c r="T28" s="770" t="s">
        <v>17</v>
      </c>
      <c r="U28" s="771">
        <f>H28</f>
        <v>100</v>
      </c>
      <c r="V28" s="770" t="s">
        <v>17</v>
      </c>
      <c r="W28" s="771">
        <f>J28</f>
        <v>100</v>
      </c>
      <c r="X28" s="772"/>
      <c r="Y28" s="3361"/>
      <c r="Z28" s="55" t="str">
        <f>Q28</f>
        <v>朝向</v>
      </c>
      <c r="AA28" s="1810">
        <f>D28/F28</f>
        <v>1</v>
      </c>
      <c r="AB28" s="1810">
        <f>D28/H28</f>
        <v>1</v>
      </c>
      <c r="AC28" s="2669">
        <f>D28/J28</f>
        <v>1</v>
      </c>
    </row>
    <row r="29" spans="1:29" ht="15">
      <c r="A29" s="428"/>
      <c r="B29" s="2673">
        <v>111</v>
      </c>
      <c r="C29" s="2611"/>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411"/>
      <c r="Q29" s="1809">
        <f t="shared" si="11"/>
        <v>111</v>
      </c>
      <c r="R29" s="774" t="s">
        <v>17</v>
      </c>
      <c r="S29" s="775">
        <f t="shared" ref="S29:S47" si="12">F29</f>
        <v>100</v>
      </c>
      <c r="T29" s="774" t="s">
        <v>17</v>
      </c>
      <c r="U29" s="775">
        <f t="shared" ref="U29:U47" si="13">H29</f>
        <v>100</v>
      </c>
      <c r="V29" s="774" t="s">
        <v>17</v>
      </c>
      <c r="W29" s="775">
        <f t="shared" ref="W29:W47" si="14">J29</f>
        <v>100</v>
      </c>
      <c r="X29" s="1812"/>
      <c r="Y29" s="3361"/>
      <c r="Z29" s="1813">
        <f t="shared" ref="Z29:Z47" si="15">Q29</f>
        <v>111</v>
      </c>
      <c r="AA29" s="1810">
        <f t="shared" si="3"/>
        <v>1</v>
      </c>
      <c r="AB29" s="1810">
        <f t="shared" si="4"/>
        <v>1</v>
      </c>
      <c r="AC29" s="2669">
        <f t="shared" si="5"/>
        <v>1</v>
      </c>
    </row>
    <row r="30" spans="1:29" ht="15">
      <c r="A30" s="428"/>
      <c r="B30" s="2673">
        <v>111</v>
      </c>
      <c r="C30" s="2611"/>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411"/>
      <c r="Q30" s="1809">
        <f t="shared" si="11"/>
        <v>111</v>
      </c>
      <c r="R30" s="774" t="s">
        <v>17</v>
      </c>
      <c r="S30" s="775">
        <f t="shared" si="12"/>
        <v>100</v>
      </c>
      <c r="T30" s="774" t="s">
        <v>17</v>
      </c>
      <c r="U30" s="775">
        <f t="shared" si="13"/>
        <v>100</v>
      </c>
      <c r="V30" s="774" t="s">
        <v>17</v>
      </c>
      <c r="W30" s="775">
        <f t="shared" si="14"/>
        <v>100</v>
      </c>
      <c r="X30" s="1812"/>
      <c r="Y30" s="3361"/>
      <c r="Z30" s="1813">
        <f t="shared" si="15"/>
        <v>111</v>
      </c>
      <c r="AA30" s="1810">
        <f t="shared" si="3"/>
        <v>1</v>
      </c>
      <c r="AB30" s="1810">
        <f t="shared" si="4"/>
        <v>1</v>
      </c>
      <c r="AC30" s="2669">
        <f t="shared" si="5"/>
        <v>1</v>
      </c>
    </row>
    <row r="31" spans="1:29" ht="15">
      <c r="A31" s="428"/>
      <c r="B31" s="2673">
        <v>111</v>
      </c>
      <c r="C31" s="2611"/>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411"/>
      <c r="Q31" s="1809">
        <f t="shared" si="11"/>
        <v>111</v>
      </c>
      <c r="R31" s="774" t="s">
        <v>17</v>
      </c>
      <c r="S31" s="775">
        <f t="shared" si="12"/>
        <v>100</v>
      </c>
      <c r="T31" s="774" t="s">
        <v>17</v>
      </c>
      <c r="U31" s="775">
        <f t="shared" si="13"/>
        <v>100</v>
      </c>
      <c r="V31" s="774" t="s">
        <v>17</v>
      </c>
      <c r="W31" s="775">
        <f t="shared" si="14"/>
        <v>100</v>
      </c>
      <c r="X31" s="1812"/>
      <c r="Y31" s="3361"/>
      <c r="Z31" s="1813">
        <f t="shared" si="15"/>
        <v>111</v>
      </c>
      <c r="AA31" s="1810">
        <f t="shared" si="3"/>
        <v>1</v>
      </c>
      <c r="AB31" s="1810">
        <f t="shared" si="4"/>
        <v>1</v>
      </c>
      <c r="AC31" s="2669">
        <f t="shared" si="5"/>
        <v>1</v>
      </c>
    </row>
    <row r="32" spans="1:29" ht="15.75" thickBot="1">
      <c r="A32" s="436"/>
      <c r="B32" s="635">
        <v>111</v>
      </c>
      <c r="C32" s="2612"/>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411"/>
      <c r="Q32" s="1809">
        <f t="shared" si="11"/>
        <v>111</v>
      </c>
      <c r="R32" s="774" t="s">
        <v>17</v>
      </c>
      <c r="S32" s="775">
        <f t="shared" si="12"/>
        <v>100</v>
      </c>
      <c r="T32" s="774" t="s">
        <v>17</v>
      </c>
      <c r="U32" s="775">
        <f t="shared" si="13"/>
        <v>100</v>
      </c>
      <c r="V32" s="774" t="s">
        <v>17</v>
      </c>
      <c r="W32" s="775">
        <f t="shared" si="14"/>
        <v>100</v>
      </c>
      <c r="X32" s="1812"/>
      <c r="Y32" s="3361"/>
      <c r="Z32" s="1813">
        <f t="shared" si="15"/>
        <v>111</v>
      </c>
      <c r="AA32" s="1810">
        <f t="shared" si="3"/>
        <v>1</v>
      </c>
      <c r="AB32" s="1810">
        <f t="shared" si="4"/>
        <v>1</v>
      </c>
      <c r="AC32" s="2669">
        <f t="shared" si="5"/>
        <v>1</v>
      </c>
    </row>
    <row r="33" spans="1:29" ht="15">
      <c r="A33" s="440" t="s">
        <v>2549</v>
      </c>
      <c r="B33" s="71" t="s">
        <v>2678</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406" t="s">
        <v>2551</v>
      </c>
      <c r="Q33" s="1809" t="str">
        <f t="shared" si="11"/>
        <v>建筑类型</v>
      </c>
      <c r="R33" s="774" t="s">
        <v>17</v>
      </c>
      <c r="S33" s="775">
        <f t="shared" si="12"/>
        <v>100</v>
      </c>
      <c r="T33" s="774" t="s">
        <v>17</v>
      </c>
      <c r="U33" s="775">
        <f t="shared" si="13"/>
        <v>100</v>
      </c>
      <c r="V33" s="774" t="s">
        <v>17</v>
      </c>
      <c r="W33" s="775">
        <f t="shared" si="14"/>
        <v>100</v>
      </c>
      <c r="X33" s="1812"/>
      <c r="Y33" s="3363" t="s">
        <v>2551</v>
      </c>
      <c r="Z33" s="1813" t="str">
        <f t="shared" si="15"/>
        <v>建筑类型</v>
      </c>
      <c r="AA33" s="1810">
        <f t="shared" si="3"/>
        <v>1</v>
      </c>
      <c r="AB33" s="1810">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407"/>
      <c r="Q34" s="776" t="str">
        <f t="shared" si="11"/>
        <v>项目建筑规模</v>
      </c>
      <c r="R34" s="777" t="s">
        <v>17</v>
      </c>
      <c r="S34" s="778" t="e">
        <f t="shared" si="12"/>
        <v>#N/A</v>
      </c>
      <c r="T34" s="777" t="s">
        <v>17</v>
      </c>
      <c r="U34" s="778" t="e">
        <f t="shared" si="13"/>
        <v>#N/A</v>
      </c>
      <c r="V34" s="777" t="s">
        <v>17</v>
      </c>
      <c r="W34" s="778" t="e">
        <f t="shared" si="14"/>
        <v>#N/A</v>
      </c>
      <c r="X34" s="779"/>
      <c r="Y34" s="3363"/>
      <c r="Z34" s="780" t="str">
        <f t="shared" si="15"/>
        <v>项目建筑规模</v>
      </c>
      <c r="AA34" s="1810" t="e">
        <f t="shared" si="3"/>
        <v>#N/A</v>
      </c>
      <c r="AB34" s="1810"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407"/>
      <c r="Q35" s="1809" t="str">
        <f t="shared" si="11"/>
        <v>建筑结构</v>
      </c>
      <c r="R35" s="774" t="s">
        <v>17</v>
      </c>
      <c r="S35" s="775">
        <f t="shared" si="12"/>
        <v>100</v>
      </c>
      <c r="T35" s="774" t="s">
        <v>17</v>
      </c>
      <c r="U35" s="775">
        <f t="shared" si="13"/>
        <v>100</v>
      </c>
      <c r="V35" s="774" t="s">
        <v>17</v>
      </c>
      <c r="W35" s="775">
        <f t="shared" si="14"/>
        <v>100</v>
      </c>
      <c r="X35" s="1812"/>
      <c r="Y35" s="3363"/>
      <c r="Z35" s="1813" t="str">
        <f t="shared" si="15"/>
        <v>建筑结构</v>
      </c>
      <c r="AA35" s="1810">
        <f t="shared" si="3"/>
        <v>1</v>
      </c>
      <c r="AB35" s="1810">
        <f t="shared" si="4"/>
        <v>1</v>
      </c>
      <c r="AC35" s="2669">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407"/>
      <c r="Q36" s="1809" t="str">
        <f t="shared" si="11"/>
        <v>公共部分装修</v>
      </c>
      <c r="R36" s="774" t="s">
        <v>17</v>
      </c>
      <c r="S36" s="775">
        <f t="shared" si="12"/>
        <v>100</v>
      </c>
      <c r="T36" s="774" t="s">
        <v>17</v>
      </c>
      <c r="U36" s="775">
        <f t="shared" si="13"/>
        <v>100</v>
      </c>
      <c r="V36" s="774" t="s">
        <v>17</v>
      </c>
      <c r="W36" s="775">
        <f t="shared" si="14"/>
        <v>100</v>
      </c>
      <c r="X36" s="1812"/>
      <c r="Y36" s="3363"/>
      <c r="Z36" s="1813" t="str">
        <f t="shared" si="15"/>
        <v>公共部分装修</v>
      </c>
      <c r="AA36" s="1810">
        <f t="shared" si="3"/>
        <v>1</v>
      </c>
      <c r="AB36" s="1810">
        <f t="shared" si="4"/>
        <v>1</v>
      </c>
      <c r="AC36" s="2669">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407"/>
      <c r="Q37" s="1809" t="str">
        <f t="shared" si="11"/>
        <v>成新度</v>
      </c>
      <c r="R37" s="774" t="s">
        <v>17</v>
      </c>
      <c r="S37" s="775" t="e">
        <f t="shared" si="12"/>
        <v>#N/A</v>
      </c>
      <c r="T37" s="774" t="s">
        <v>17</v>
      </c>
      <c r="U37" s="775" t="e">
        <f t="shared" si="13"/>
        <v>#N/A</v>
      </c>
      <c r="V37" s="774" t="s">
        <v>17</v>
      </c>
      <c r="W37" s="775" t="e">
        <f t="shared" si="14"/>
        <v>#N/A</v>
      </c>
      <c r="X37" s="1812"/>
      <c r="Y37" s="3363"/>
      <c r="Z37" s="1813" t="str">
        <f t="shared" si="15"/>
        <v>成新度</v>
      </c>
      <c r="AA37" s="1810" t="e">
        <f t="shared" si="3"/>
        <v>#N/A</v>
      </c>
      <c r="AB37" s="1810" t="e">
        <f t="shared" si="4"/>
        <v>#N/A</v>
      </c>
      <c r="AC37" s="2669"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407"/>
      <c r="Q38" s="1794" t="str">
        <f t="shared" si="11"/>
        <v>写字楼等级</v>
      </c>
      <c r="R38" s="770" t="s">
        <v>17</v>
      </c>
      <c r="S38" s="771">
        <f t="shared" si="12"/>
        <v>100</v>
      </c>
      <c r="T38" s="770" t="s">
        <v>17</v>
      </c>
      <c r="U38" s="771">
        <f t="shared" si="13"/>
        <v>100</v>
      </c>
      <c r="V38" s="770" t="s">
        <v>17</v>
      </c>
      <c r="W38" s="771">
        <f t="shared" si="14"/>
        <v>100</v>
      </c>
      <c r="X38" s="772"/>
      <c r="Y38" s="3363"/>
      <c r="Z38" s="55" t="str">
        <f t="shared" si="15"/>
        <v>写字楼等级</v>
      </c>
      <c r="AA38" s="773">
        <f t="shared" si="3"/>
        <v>1</v>
      </c>
      <c r="AB38" s="773">
        <f t="shared" si="4"/>
        <v>1</v>
      </c>
      <c r="AC38" s="2666">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407" t="s">
        <v>2551</v>
      </c>
      <c r="Q39" s="1809" t="str">
        <f t="shared" si="11"/>
        <v>物业管理</v>
      </c>
      <c r="R39" s="774" t="s">
        <v>17</v>
      </c>
      <c r="S39" s="775">
        <f t="shared" si="12"/>
        <v>100</v>
      </c>
      <c r="T39" s="774" t="s">
        <v>17</v>
      </c>
      <c r="U39" s="775">
        <f t="shared" si="13"/>
        <v>100</v>
      </c>
      <c r="V39" s="774" t="s">
        <v>17</v>
      </c>
      <c r="W39" s="775">
        <f t="shared" si="14"/>
        <v>100</v>
      </c>
      <c r="X39" s="1812"/>
      <c r="Y39" s="3363" t="s">
        <v>2551</v>
      </c>
      <c r="Z39" s="1813" t="str">
        <f t="shared" si="15"/>
        <v>物业管理</v>
      </c>
      <c r="AA39" s="1810">
        <f t="shared" si="3"/>
        <v>1</v>
      </c>
      <c r="AB39" s="1810">
        <f t="shared" si="4"/>
        <v>1</v>
      </c>
      <c r="AC39" s="2669">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407"/>
      <c r="Q40" s="1809" t="str">
        <f t="shared" si="11"/>
        <v>市政基础设施</v>
      </c>
      <c r="R40" s="774" t="s">
        <v>17</v>
      </c>
      <c r="S40" s="775">
        <f t="shared" si="12"/>
        <v>100</v>
      </c>
      <c r="T40" s="774" t="s">
        <v>17</v>
      </c>
      <c r="U40" s="775">
        <f t="shared" si="13"/>
        <v>100</v>
      </c>
      <c r="V40" s="774" t="s">
        <v>17</v>
      </c>
      <c r="W40" s="775">
        <f t="shared" si="14"/>
        <v>100</v>
      </c>
      <c r="X40" s="1812"/>
      <c r="Y40" s="3363"/>
      <c r="Z40" s="1813" t="str">
        <f t="shared" si="15"/>
        <v>市政基础设施</v>
      </c>
      <c r="AA40" s="1810">
        <f t="shared" si="3"/>
        <v>1</v>
      </c>
      <c r="AB40" s="1810">
        <f t="shared" si="4"/>
        <v>1</v>
      </c>
      <c r="AC40" s="2669">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407"/>
      <c r="Q41" s="1809" t="str">
        <f t="shared" si="11"/>
        <v>层高</v>
      </c>
      <c r="R41" s="774" t="s">
        <v>17</v>
      </c>
      <c r="S41" s="775">
        <f t="shared" si="12"/>
        <v>100</v>
      </c>
      <c r="T41" s="774" t="s">
        <v>17</v>
      </c>
      <c r="U41" s="775">
        <f t="shared" si="13"/>
        <v>100</v>
      </c>
      <c r="V41" s="774" t="s">
        <v>17</v>
      </c>
      <c r="W41" s="775">
        <f t="shared" si="14"/>
        <v>100</v>
      </c>
      <c r="X41" s="1812"/>
      <c r="Y41" s="3363"/>
      <c r="Z41" s="1813" t="str">
        <f t="shared" si="15"/>
        <v>层高</v>
      </c>
      <c r="AA41" s="1810">
        <f t="shared" si="3"/>
        <v>1</v>
      </c>
      <c r="AB41" s="1810">
        <f t="shared" si="4"/>
        <v>1</v>
      </c>
      <c r="AC41" s="2669">
        <f t="shared" si="5"/>
        <v>1</v>
      </c>
    </row>
    <row r="42" spans="1:29" s="471" customFormat="1" ht="15">
      <c r="A42" s="468"/>
      <c r="B42" s="1811"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407"/>
      <c r="Q42" s="776" t="str">
        <f t="shared" si="11"/>
        <v>单套建筑面积</v>
      </c>
      <c r="R42" s="777" t="s">
        <v>17</v>
      </c>
      <c r="S42" s="778">
        <f t="shared" si="12"/>
        <v>100</v>
      </c>
      <c r="T42" s="777" t="s">
        <v>17</v>
      </c>
      <c r="U42" s="778">
        <f t="shared" si="13"/>
        <v>100</v>
      </c>
      <c r="V42" s="777" t="s">
        <v>17</v>
      </c>
      <c r="W42" s="778">
        <f t="shared" si="14"/>
        <v>100</v>
      </c>
      <c r="X42" s="779"/>
      <c r="Y42" s="3363"/>
      <c r="Z42" s="780" t="str">
        <f t="shared" si="15"/>
        <v>单套建筑面积</v>
      </c>
      <c r="AA42" s="1810">
        <f t="shared" si="3"/>
        <v>1</v>
      </c>
      <c r="AB42" s="1810">
        <f t="shared" si="4"/>
        <v>1</v>
      </c>
      <c r="AC42" s="2669">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407"/>
      <c r="Q43" s="1809" t="str">
        <f t="shared" si="11"/>
        <v>内部装修</v>
      </c>
      <c r="R43" s="774" t="s">
        <v>17</v>
      </c>
      <c r="S43" s="775">
        <f t="shared" si="12"/>
        <v>100</v>
      </c>
      <c r="T43" s="774" t="s">
        <v>17</v>
      </c>
      <c r="U43" s="775">
        <f t="shared" si="13"/>
        <v>100</v>
      </c>
      <c r="V43" s="774" t="s">
        <v>17</v>
      </c>
      <c r="W43" s="775">
        <f t="shared" si="14"/>
        <v>100</v>
      </c>
      <c r="X43" s="1812"/>
      <c r="Y43" s="3363"/>
      <c r="Z43" s="1813" t="str">
        <f t="shared" si="15"/>
        <v>内部装修</v>
      </c>
      <c r="AA43" s="1810">
        <f t="shared" si="3"/>
        <v>1</v>
      </c>
      <c r="AB43" s="1810">
        <f t="shared" si="4"/>
        <v>1</v>
      </c>
      <c r="AC43" s="2669">
        <f t="shared" si="5"/>
        <v>1</v>
      </c>
    </row>
    <row r="44" spans="1:29" ht="15">
      <c r="A44" s="472"/>
      <c r="B44" s="422" t="s">
        <v>2562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407"/>
      <c r="Q44" s="1809" t="str">
        <f t="shared" si="11"/>
        <v>内部装修维护情况</v>
      </c>
      <c r="R44" s="774" t="s">
        <v>17</v>
      </c>
      <c r="S44" s="775">
        <f t="shared" si="12"/>
        <v>100</v>
      </c>
      <c r="T44" s="774" t="s">
        <v>17</v>
      </c>
      <c r="U44" s="775">
        <f t="shared" si="13"/>
        <v>100</v>
      </c>
      <c r="V44" s="774" t="s">
        <v>17</v>
      </c>
      <c r="W44" s="775">
        <f t="shared" si="14"/>
        <v>100</v>
      </c>
      <c r="X44" s="1812"/>
      <c r="Y44" s="3363"/>
      <c r="Z44" s="1813" t="str">
        <f t="shared" si="15"/>
        <v>内部装修维护情况</v>
      </c>
      <c r="AA44" s="1810">
        <f t="shared" si="3"/>
        <v>1</v>
      </c>
      <c r="AB44" s="1810">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407"/>
      <c r="Q45" s="1794">
        <f t="shared" si="11"/>
        <v>111</v>
      </c>
      <c r="R45" s="770" t="s">
        <v>17</v>
      </c>
      <c r="S45" s="771">
        <f t="shared" si="12"/>
        <v>100</v>
      </c>
      <c r="T45" s="770" t="s">
        <v>17</v>
      </c>
      <c r="U45" s="771">
        <f t="shared" si="13"/>
        <v>100</v>
      </c>
      <c r="V45" s="770" t="s">
        <v>17</v>
      </c>
      <c r="W45" s="771">
        <f t="shared" si="14"/>
        <v>100</v>
      </c>
      <c r="X45" s="772"/>
      <c r="Y45" s="3363"/>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407"/>
      <c r="Q46" s="1809">
        <f t="shared" si="11"/>
        <v>111</v>
      </c>
      <c r="R46" s="774" t="s">
        <v>17</v>
      </c>
      <c r="S46" s="775">
        <f t="shared" si="12"/>
        <v>100</v>
      </c>
      <c r="T46" s="774" t="s">
        <v>17</v>
      </c>
      <c r="U46" s="775">
        <f t="shared" si="13"/>
        <v>100</v>
      </c>
      <c r="V46" s="774" t="s">
        <v>17</v>
      </c>
      <c r="W46" s="775">
        <f t="shared" si="14"/>
        <v>100</v>
      </c>
      <c r="X46" s="1812"/>
      <c r="Y46" s="3363"/>
      <c r="Z46" s="1813">
        <f t="shared" si="15"/>
        <v>111</v>
      </c>
      <c r="AA46" s="1810">
        <f t="shared" si="3"/>
        <v>1</v>
      </c>
      <c r="AB46" s="1810">
        <f t="shared" si="4"/>
        <v>1</v>
      </c>
      <c r="AC46" s="2669">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408"/>
      <c r="Q47" s="1809">
        <f t="shared" si="11"/>
        <v>111</v>
      </c>
      <c r="R47" s="774" t="s">
        <v>17</v>
      </c>
      <c r="S47" s="775">
        <f t="shared" si="12"/>
        <v>100</v>
      </c>
      <c r="T47" s="774" t="s">
        <v>17</v>
      </c>
      <c r="U47" s="775">
        <f t="shared" si="13"/>
        <v>100</v>
      </c>
      <c r="V47" s="774" t="s">
        <v>17</v>
      </c>
      <c r="W47" s="775">
        <f t="shared" si="14"/>
        <v>100</v>
      </c>
      <c r="X47" s="1812"/>
      <c r="Y47" s="3409"/>
      <c r="Z47" s="1813">
        <f t="shared" si="15"/>
        <v>111</v>
      </c>
      <c r="AA47" s="1810">
        <f t="shared" si="3"/>
        <v>1</v>
      </c>
      <c r="AB47" s="1810">
        <f t="shared" si="4"/>
        <v>1</v>
      </c>
      <c r="AC47" s="2669">
        <f t="shared" si="5"/>
        <v>1</v>
      </c>
    </row>
    <row r="48" spans="1:29" ht="15">
      <c r="A48" s="479" t="s">
        <v>2563</v>
      </c>
      <c r="B48" s="480"/>
      <c r="C48" s="1407" t="s">
        <v>1</v>
      </c>
      <c r="D48" s="1408"/>
      <c r="E48" s="1409"/>
      <c r="F48" s="1410"/>
      <c r="G48" s="1411"/>
      <c r="H48" s="1412"/>
      <c r="I48" s="1409"/>
      <c r="J48" s="485"/>
      <c r="K48" s="783"/>
      <c r="L48" s="1143"/>
      <c r="M48" s="1131"/>
      <c r="N48" s="1131"/>
      <c r="O48" s="1131"/>
      <c r="P48" s="3369" t="str">
        <f>A48</f>
        <v>成交单价（元/平方米）</v>
      </c>
      <c r="Q48" s="3345"/>
      <c r="R48" s="3405">
        <f>E48</f>
        <v>0</v>
      </c>
      <c r="S48" s="3405"/>
      <c r="T48" s="3405">
        <f>G48</f>
        <v>0</v>
      </c>
      <c r="U48" s="3405"/>
      <c r="V48" s="3405">
        <f>I48</f>
        <v>0</v>
      </c>
      <c r="W48" s="3405"/>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369" t="str">
        <f>A49</f>
        <v>比较价值（元/平方米）</v>
      </c>
      <c r="Q49" s="3345"/>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424" t="str">
        <f>A50</f>
        <v>估价对象XX用房的比较价值（楼面单价，元/平方米）</v>
      </c>
      <c r="Q50" s="3425"/>
      <c r="R50" s="3426" t="e">
        <f>IF(F1="售价",ROUND(AVERAGE(R49:V49),0),ROUND(AVERAGE(R49:V49),1))</f>
        <v>#DIV/0!</v>
      </c>
      <c r="S50" s="3426"/>
      <c r="T50" s="3426"/>
      <c r="U50" s="3426"/>
      <c r="V50" s="3426"/>
      <c r="W50" s="3426"/>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76"/>
      <c r="Q58" s="504"/>
    </row>
    <row r="59" spans="1:29" s="508" customFormat="1" ht="15">
      <c r="A59" s="505" t="s">
        <v>2534</v>
      </c>
      <c r="B59" s="506"/>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2570</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2637</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2573</v>
      </c>
      <c r="B64" s="528" t="s">
        <v>2540</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2543</v>
      </c>
      <c r="C66" s="539" t="s">
        <v>2574</v>
      </c>
      <c r="D66" s="539" t="s">
        <v>2575</v>
      </c>
      <c r="E66" s="539" t="s">
        <v>2576</v>
      </c>
      <c r="F66" s="539" t="s">
        <v>2577</v>
      </c>
      <c r="G66" s="539" t="s">
        <v>2578</v>
      </c>
      <c r="H66" s="539" t="s">
        <v>2579</v>
      </c>
      <c r="I66" s="539" t="s">
        <v>2580</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2545</v>
      </c>
      <c r="B77" s="528" t="s">
        <v>2682</v>
      </c>
      <c r="C77" s="573" t="s">
        <v>2582</v>
      </c>
      <c r="D77" s="573" t="s">
        <v>2583</v>
      </c>
      <c r="E77" s="573" t="s">
        <v>2584</v>
      </c>
      <c r="F77" s="573" t="s">
        <v>2585</v>
      </c>
      <c r="G77" s="573" t="s">
        <v>2586</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2684</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2549</v>
      </c>
      <c r="B101" s="528" t="s">
        <v>2597</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2599</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2601</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2602</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2603</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2686</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2605</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2687</v>
      </c>
      <c r="C1" s="1619" t="s">
        <v>2516</v>
      </c>
      <c r="D1" s="1620"/>
      <c r="E1" s="1629"/>
      <c r="F1" s="2580"/>
      <c r="G1" s="1630" t="s">
        <v>2628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2"/>
      <c r="D2" s="1124"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2629</v>
      </c>
      <c r="D3" s="399">
        <f>IF(D1="",'数据-汇总表'!E3,SUMIF('数据-汇总表'!$C19:$C33,D1,'数据-汇总表'!$E19:$E33))</f>
        <v>38206.339999999997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346" t="s">
        <v>2631</v>
      </c>
      <c r="D4" s="3347"/>
      <c r="E4" s="3348" t="s">
        <v>2632</v>
      </c>
      <c r="F4" s="3349"/>
      <c r="G4" s="3346" t="s">
        <v>2633</v>
      </c>
      <c r="H4" s="3347"/>
      <c r="I4" s="3346" t="s">
        <v>2634</v>
      </c>
      <c r="J4" s="3347"/>
      <c r="K4" s="610" t="s">
        <v>2635</v>
      </c>
      <c r="L4" s="1130"/>
      <c r="M4" s="1131"/>
      <c r="N4" s="1131"/>
      <c r="O4" s="1131"/>
      <c r="P4" s="3350" t="s">
        <v>2636</v>
      </c>
      <c r="Q4" s="3351"/>
      <c r="R4" s="3333" t="s">
        <v>2632</v>
      </c>
      <c r="S4" s="3334"/>
      <c r="T4" s="3333" t="s">
        <v>2633</v>
      </c>
      <c r="U4" s="3334"/>
      <c r="V4" s="3358" t="s">
        <v>2634</v>
      </c>
      <c r="W4" s="3358"/>
      <c r="X4" s="1812"/>
      <c r="Y4" s="3333" t="s">
        <v>2636</v>
      </c>
      <c r="Z4" s="3334"/>
      <c r="AA4" s="3328" t="s">
        <v>2632</v>
      </c>
      <c r="AB4" s="3329" t="s">
        <v>2633</v>
      </c>
      <c r="AC4" s="3328" t="s">
        <v>2634</v>
      </c>
    </row>
    <row r="5" spans="1:29" ht="15">
      <c r="A5" s="404"/>
      <c r="B5" s="405"/>
      <c r="C5" s="3339" t="s">
        <v>2528</v>
      </c>
      <c r="D5" s="3340"/>
      <c r="E5" s="3337" t="s">
        <v>2529</v>
      </c>
      <c r="F5" s="3338"/>
      <c r="G5" s="3339" t="s">
        <v>2530</v>
      </c>
      <c r="H5" s="3340"/>
      <c r="I5" s="3339" t="s">
        <v>2531</v>
      </c>
      <c r="J5" s="3340"/>
      <c r="K5" s="610"/>
      <c r="L5" s="1130"/>
      <c r="M5" s="1131"/>
      <c r="N5" s="1131"/>
      <c r="O5" s="1131"/>
      <c r="P5" s="3352"/>
      <c r="Q5" s="3353"/>
      <c r="R5" s="3335"/>
      <c r="S5" s="3336"/>
      <c r="T5" s="3335"/>
      <c r="U5" s="3336"/>
      <c r="V5" s="3358"/>
      <c r="W5" s="3358"/>
      <c r="X5" s="1812"/>
      <c r="Y5" s="3335"/>
      <c r="Z5" s="3336"/>
      <c r="AA5" s="3329"/>
      <c r="AB5" s="3329"/>
      <c r="AC5" s="3329"/>
    </row>
    <row r="6" spans="1:29" ht="15.75" thickBot="1">
      <c r="A6" s="406"/>
      <c r="B6" s="407"/>
      <c r="C6" s="3341" t="s">
        <v>2532</v>
      </c>
      <c r="D6" s="3342"/>
      <c r="E6" s="3343" t="s">
        <v>2532</v>
      </c>
      <c r="F6" s="3344"/>
      <c r="G6" s="3341" t="s">
        <v>2532</v>
      </c>
      <c r="H6" s="3342"/>
      <c r="I6" s="3341" t="s">
        <v>2532</v>
      </c>
      <c r="J6" s="3342"/>
      <c r="K6" s="610" t="s">
        <v>2533</v>
      </c>
      <c r="L6" s="1130"/>
      <c r="M6" s="1131"/>
      <c r="N6" s="1131"/>
      <c r="O6" s="1131"/>
      <c r="P6" s="3354"/>
      <c r="Q6" s="3355"/>
      <c r="R6" s="3335"/>
      <c r="S6" s="3336"/>
      <c r="T6" s="3356"/>
      <c r="U6" s="3357"/>
      <c r="V6" s="3358"/>
      <c r="W6" s="3358"/>
      <c r="X6" s="1812"/>
      <c r="Y6" s="3356"/>
      <c r="Z6" s="3357"/>
      <c r="AA6" s="3330"/>
      <c r="AB6" s="3330"/>
      <c r="AC6" s="3330"/>
    </row>
    <row r="7" spans="1:29" s="117" customFormat="1" ht="15.75" thickBot="1">
      <c r="A7" s="408" t="s">
        <v>2534</v>
      </c>
      <c r="B7" s="409"/>
      <c r="C7" s="410">
        <f>'数据-取费表'!B2</f>
        <v>43755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31" t="s">
        <v>2535</v>
      </c>
      <c r="Q7" s="3359"/>
      <c r="R7" s="770" t="s">
        <v>17</v>
      </c>
      <c r="S7" s="771">
        <f t="shared" ref="S7:S15" si="0">F7</f>
        <v>0</v>
      </c>
      <c r="T7" s="770" t="s">
        <v>17</v>
      </c>
      <c r="U7" s="771">
        <f t="shared" ref="U7:U15" si="1">H7</f>
        <v>0</v>
      </c>
      <c r="V7" s="770" t="s">
        <v>17</v>
      </c>
      <c r="W7" s="771">
        <f t="shared" ref="W7:W15" si="2">J7</f>
        <v>0</v>
      </c>
      <c r="X7" s="772"/>
      <c r="Y7" s="3331" t="s">
        <v>2535</v>
      </c>
      <c r="Z7" s="3332"/>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31" t="s">
        <v>2538</v>
      </c>
      <c r="Q8" s="3332"/>
      <c r="R8" s="770" t="s">
        <v>17</v>
      </c>
      <c r="S8" s="771">
        <f t="shared" si="0"/>
        <v>0</v>
      </c>
      <c r="T8" s="770" t="s">
        <v>17</v>
      </c>
      <c r="U8" s="771">
        <f t="shared" si="1"/>
        <v>0</v>
      </c>
      <c r="V8" s="770" t="s">
        <v>17</v>
      </c>
      <c r="W8" s="771">
        <f t="shared" si="2"/>
        <v>0</v>
      </c>
      <c r="X8" s="772"/>
      <c r="Y8" s="3331" t="s">
        <v>2538</v>
      </c>
      <c r="Z8" s="3332"/>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45" t="s">
        <v>2541</v>
      </c>
      <c r="Q9" s="1794" t="str">
        <f t="shared" ref="Q9:Q15" si="6">B9</f>
        <v>用途</v>
      </c>
      <c r="R9" s="770" t="s">
        <v>17</v>
      </c>
      <c r="S9" s="771">
        <f t="shared" si="0"/>
        <v>100</v>
      </c>
      <c r="T9" s="770" t="s">
        <v>17</v>
      </c>
      <c r="U9" s="771">
        <f t="shared" si="1"/>
        <v>100</v>
      </c>
      <c r="V9" s="770" t="s">
        <v>17</v>
      </c>
      <c r="W9" s="771">
        <f t="shared" si="2"/>
        <v>100</v>
      </c>
      <c r="X9" s="772"/>
      <c r="Y9" s="3147"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45"/>
      <c r="Q10" s="1794"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45"/>
      <c r="Q11" s="1794" t="str">
        <f t="shared" si="6"/>
        <v>容积率</v>
      </c>
      <c r="R11" s="770" t="s">
        <v>17</v>
      </c>
      <c r="S11" s="771" t="e">
        <f t="shared" si="0"/>
        <v>#N/A</v>
      </c>
      <c r="T11" s="770" t="s">
        <v>17</v>
      </c>
      <c r="U11" s="771" t="e">
        <f t="shared" si="1"/>
        <v>#N/A</v>
      </c>
      <c r="V11" s="770" t="s">
        <v>17</v>
      </c>
      <c r="W11" s="771" t="e">
        <f t="shared" si="2"/>
        <v>#N/A</v>
      </c>
      <c r="X11" s="772"/>
      <c r="Y11" s="314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345"/>
      <c r="Q12" s="1794">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345"/>
      <c r="Q13" s="1794">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345"/>
      <c r="Q14" s="1794">
        <f t="shared" si="6"/>
        <v>111</v>
      </c>
      <c r="R14" s="770" t="s">
        <v>17</v>
      </c>
      <c r="S14" s="771">
        <f t="shared" si="0"/>
        <v>100</v>
      </c>
      <c r="T14" s="770" t="s">
        <v>17</v>
      </c>
      <c r="U14" s="771">
        <f t="shared" si="1"/>
        <v>100</v>
      </c>
      <c r="V14" s="770" t="s">
        <v>17</v>
      </c>
      <c r="W14" s="771">
        <f t="shared" si="2"/>
        <v>100</v>
      </c>
      <c r="X14" s="772"/>
      <c r="Y14" s="3147"/>
      <c r="Z14" s="55">
        <f t="shared" si="7"/>
        <v>111</v>
      </c>
      <c r="AA14" s="773">
        <f t="shared" si="3"/>
        <v>1</v>
      </c>
      <c r="AB14" s="773">
        <f t="shared" si="4"/>
        <v>1</v>
      </c>
      <c r="AC14" s="773">
        <f t="shared" si="5"/>
        <v>1</v>
      </c>
    </row>
    <row r="15" spans="1:29" ht="15">
      <c r="A15" s="440" t="s">
        <v>2545</v>
      </c>
      <c r="B15" s="69" t="s">
        <v>2688</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60" t="s">
        <v>2546</v>
      </c>
      <c r="Q15" s="1809" t="str">
        <f t="shared" si="6"/>
        <v>产业集聚程度</v>
      </c>
      <c r="R15" s="774" t="s">
        <v>17</v>
      </c>
      <c r="S15" s="775">
        <f t="shared" si="0"/>
        <v>100</v>
      </c>
      <c r="T15" s="774" t="s">
        <v>17</v>
      </c>
      <c r="U15" s="775">
        <f t="shared" si="1"/>
        <v>100</v>
      </c>
      <c r="V15" s="774" t="s">
        <v>17</v>
      </c>
      <c r="W15" s="775">
        <f t="shared" si="2"/>
        <v>100</v>
      </c>
      <c r="X15" s="1812"/>
      <c r="Y15" s="3360" t="s">
        <v>2546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361"/>
      <c r="Q16" s="1809"/>
      <c r="R16" s="774"/>
      <c r="S16" s="775"/>
      <c r="T16" s="774"/>
      <c r="U16" s="775"/>
      <c r="V16" s="774"/>
      <c r="W16" s="775"/>
      <c r="X16" s="1812"/>
      <c r="Y16" s="3361"/>
      <c r="Z16" s="1813"/>
      <c r="AA16" s="1810">
        <v>1</v>
      </c>
      <c r="AB16" s="1810">
        <v>1</v>
      </c>
      <c r="AC16" s="1810">
        <v>1</v>
      </c>
    </row>
    <row r="17" spans="1:29" ht="15">
      <c r="A17" s="428"/>
      <c r="B17" s="451" t="s">
        <v>2088</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61"/>
      <c r="Q17" s="1809" t="str">
        <f>B17</f>
        <v>交通便捷度</v>
      </c>
      <c r="R17" s="774" t="s">
        <v>17</v>
      </c>
      <c r="S17" s="775">
        <f>F17</f>
        <v>100</v>
      </c>
      <c r="T17" s="774" t="s">
        <v>17</v>
      </c>
      <c r="U17" s="775">
        <f>H17</f>
        <v>100</v>
      </c>
      <c r="V17" s="774" t="s">
        <v>17</v>
      </c>
      <c r="W17" s="775">
        <f>J17</f>
        <v>100</v>
      </c>
      <c r="X17" s="1812"/>
      <c r="Y17" s="3361"/>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361"/>
      <c r="Q18" s="1809"/>
      <c r="R18" s="774"/>
      <c r="S18" s="775"/>
      <c r="T18" s="774"/>
      <c r="U18" s="775"/>
      <c r="V18" s="774"/>
      <c r="W18" s="775"/>
      <c r="X18" s="1812"/>
      <c r="Y18" s="3361"/>
      <c r="Z18" s="1813"/>
      <c r="AA18" s="1810">
        <v>1</v>
      </c>
      <c r="AB18" s="1810">
        <v>1</v>
      </c>
      <c r="AC18" s="1810">
        <v>1</v>
      </c>
    </row>
    <row r="19" spans="1:29" ht="15">
      <c r="A19" s="428"/>
      <c r="B19" s="451" t="s">
        <v>2673</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61"/>
      <c r="Q19" s="1809" t="str">
        <f>B19</f>
        <v>公共配套设施</v>
      </c>
      <c r="R19" s="774" t="s">
        <v>17</v>
      </c>
      <c r="S19" s="775">
        <f>F19</f>
        <v>100</v>
      </c>
      <c r="T19" s="774" t="s">
        <v>17</v>
      </c>
      <c r="U19" s="775">
        <f>H19</f>
        <v>100</v>
      </c>
      <c r="V19" s="774" t="s">
        <v>17</v>
      </c>
      <c r="W19" s="775">
        <f>J19</f>
        <v>100</v>
      </c>
      <c r="X19" s="1812"/>
      <c r="Y19" s="3361"/>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361"/>
      <c r="Q20" s="1809"/>
      <c r="R20" s="774"/>
      <c r="S20" s="775"/>
      <c r="T20" s="774"/>
      <c r="U20" s="775"/>
      <c r="V20" s="774"/>
      <c r="W20" s="775"/>
      <c r="X20" s="1812"/>
      <c r="Y20" s="3361"/>
      <c r="Z20" s="1813"/>
      <c r="AA20" s="1810">
        <v>1</v>
      </c>
      <c r="AB20" s="1810">
        <v>1</v>
      </c>
      <c r="AC20" s="1810">
        <v>1</v>
      </c>
    </row>
    <row r="21" spans="1:29" ht="15">
      <c r="A21" s="428"/>
      <c r="B21" s="1384" t="s">
        <v>2674</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61"/>
      <c r="Q21" s="1809" t="str">
        <f>B21</f>
        <v>基础设施水平</v>
      </c>
      <c r="R21" s="774" t="s">
        <v>17</v>
      </c>
      <c r="S21" s="775">
        <f>F21</f>
        <v>100</v>
      </c>
      <c r="T21" s="774" t="s">
        <v>17</v>
      </c>
      <c r="U21" s="775">
        <f>H21</f>
        <v>100</v>
      </c>
      <c r="V21" s="774" t="s">
        <v>17</v>
      </c>
      <c r="W21" s="775">
        <f>J21</f>
        <v>100</v>
      </c>
      <c r="X21" s="1812"/>
      <c r="Y21" s="3361"/>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9"/>
      <c r="P22" s="3361"/>
      <c r="Q22" s="1809"/>
      <c r="R22" s="774"/>
      <c r="S22" s="775"/>
      <c r="T22" s="774"/>
      <c r="U22" s="775"/>
      <c r="V22" s="774"/>
      <c r="W22" s="775"/>
      <c r="X22" s="1812"/>
      <c r="Y22" s="3361"/>
      <c r="Z22" s="1813"/>
      <c r="AA22" s="1810">
        <v>1</v>
      </c>
      <c r="AB22" s="1810">
        <v>1</v>
      </c>
      <c r="AC22" s="1810">
        <v>1</v>
      </c>
    </row>
    <row r="23" spans="1:29" ht="15">
      <c r="A23" s="428"/>
      <c r="B23" s="451" t="s">
        <v>2675</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61"/>
      <c r="Q23" s="1809" t="str">
        <f>B23</f>
        <v>环境质量</v>
      </c>
      <c r="R23" s="774" t="s">
        <v>17</v>
      </c>
      <c r="S23" s="775">
        <f>F23</f>
        <v>100</v>
      </c>
      <c r="T23" s="774" t="s">
        <v>17</v>
      </c>
      <c r="U23" s="775">
        <f>H23</f>
        <v>100</v>
      </c>
      <c r="V23" s="774" t="s">
        <v>17</v>
      </c>
      <c r="W23" s="775">
        <f>J23</f>
        <v>100</v>
      </c>
      <c r="X23" s="1812"/>
      <c r="Y23" s="3361"/>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361"/>
      <c r="Q24" s="1809"/>
      <c r="R24" s="774"/>
      <c r="S24" s="775"/>
      <c r="T24" s="774"/>
      <c r="U24" s="775"/>
      <c r="V24" s="774"/>
      <c r="W24" s="775"/>
      <c r="X24" s="1812"/>
      <c r="Y24" s="336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61"/>
      <c r="Q25" s="1809">
        <f>B25</f>
        <v>111</v>
      </c>
      <c r="R25" s="774" t="s">
        <v>17</v>
      </c>
      <c r="S25" s="775">
        <f>F25</f>
        <v>100</v>
      </c>
      <c r="T25" s="774" t="s">
        <v>17</v>
      </c>
      <c r="U25" s="775">
        <f>H25</f>
        <v>100</v>
      </c>
      <c r="V25" s="774" t="s">
        <v>17</v>
      </c>
      <c r="W25" s="775">
        <f>J25</f>
        <v>100</v>
      </c>
      <c r="X25" s="1812"/>
      <c r="Y25" s="336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61"/>
      <c r="Q26" s="1809">
        <f t="shared" ref="Q26:Q40" si="11">B26</f>
        <v>111</v>
      </c>
      <c r="R26" s="774" t="s">
        <v>17</v>
      </c>
      <c r="S26" s="775">
        <f>F26</f>
        <v>100</v>
      </c>
      <c r="T26" s="774" t="s">
        <v>17</v>
      </c>
      <c r="U26" s="775">
        <f>H26</f>
        <v>100</v>
      </c>
      <c r="V26" s="774" t="s">
        <v>17</v>
      </c>
      <c r="W26" s="775">
        <f>J26</f>
        <v>100</v>
      </c>
      <c r="X26" s="1812"/>
      <c r="Y26" s="336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61"/>
      <c r="Q27" s="1794">
        <f t="shared" si="11"/>
        <v>111</v>
      </c>
      <c r="R27" s="770" t="s">
        <v>17</v>
      </c>
      <c r="S27" s="771">
        <f>F27</f>
        <v>100</v>
      </c>
      <c r="T27" s="770" t="s">
        <v>17</v>
      </c>
      <c r="U27" s="771">
        <f>H27</f>
        <v>100</v>
      </c>
      <c r="V27" s="770" t="s">
        <v>17</v>
      </c>
      <c r="W27" s="771">
        <f>J27</f>
        <v>100</v>
      </c>
      <c r="X27" s="772"/>
      <c r="Y27" s="336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61"/>
      <c r="Q28" s="1809">
        <f t="shared" si="11"/>
        <v>111</v>
      </c>
      <c r="R28" s="774" t="s">
        <v>17</v>
      </c>
      <c r="S28" s="775">
        <f t="shared" ref="S28:S40" si="12">F28</f>
        <v>100</v>
      </c>
      <c r="T28" s="774" t="s">
        <v>17</v>
      </c>
      <c r="U28" s="775">
        <f t="shared" ref="U28:U40" si="13">H28</f>
        <v>100</v>
      </c>
      <c r="V28" s="774" t="s">
        <v>17</v>
      </c>
      <c r="W28" s="775">
        <f t="shared" ref="W28:W40" si="14">J28</f>
        <v>100</v>
      </c>
      <c r="X28" s="1812"/>
      <c r="Y28" s="3361"/>
      <c r="Z28" s="1813">
        <f t="shared" ref="Z28:Z40" si="15">Q28</f>
        <v>111</v>
      </c>
      <c r="AA28" s="1810">
        <f t="shared" si="3"/>
        <v>1</v>
      </c>
      <c r="AB28" s="1810">
        <f t="shared" si="4"/>
        <v>1</v>
      </c>
      <c r="AC28" s="1810">
        <f t="shared" si="5"/>
        <v>1</v>
      </c>
    </row>
    <row r="29" spans="1:29" ht="28.5">
      <c r="A29" s="466" t="s">
        <v>2549</v>
      </c>
      <c r="B29" s="71" t="s">
        <v>2678</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362" t="s">
        <v>2551</v>
      </c>
      <c r="Q29" s="1809" t="str">
        <f t="shared" si="11"/>
        <v>建筑类型</v>
      </c>
      <c r="R29" s="774" t="s">
        <v>17</v>
      </c>
      <c r="S29" s="775">
        <f t="shared" si="12"/>
        <v>100</v>
      </c>
      <c r="T29" s="774" t="s">
        <v>17</v>
      </c>
      <c r="U29" s="775">
        <f t="shared" si="13"/>
        <v>100</v>
      </c>
      <c r="V29" s="774" t="s">
        <v>17</v>
      </c>
      <c r="W29" s="775">
        <f t="shared" si="14"/>
        <v>100</v>
      </c>
      <c r="X29" s="1812"/>
      <c r="Y29" s="3363" t="s">
        <v>2551</v>
      </c>
      <c r="Z29" s="1813" t="str">
        <f t="shared" si="15"/>
        <v>建筑类型</v>
      </c>
      <c r="AA29" s="1810">
        <f t="shared" si="3"/>
        <v>1</v>
      </c>
      <c r="AB29" s="1810">
        <f t="shared" si="4"/>
        <v>1</v>
      </c>
      <c r="AC29" s="1810">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63"/>
      <c r="Q30" s="776" t="str">
        <f t="shared" si="11"/>
        <v>项目建筑规模</v>
      </c>
      <c r="R30" s="777" t="s">
        <v>17</v>
      </c>
      <c r="S30" s="778" t="e">
        <f t="shared" si="12"/>
        <v>#N/A</v>
      </c>
      <c r="T30" s="777" t="s">
        <v>17</v>
      </c>
      <c r="U30" s="778" t="e">
        <f t="shared" si="13"/>
        <v>#N/A</v>
      </c>
      <c r="V30" s="777" t="s">
        <v>17</v>
      </c>
      <c r="W30" s="778" t="e">
        <f t="shared" si="14"/>
        <v>#N/A</v>
      </c>
      <c r="X30" s="779"/>
      <c r="Y30" s="3363"/>
      <c r="Z30" s="780" t="str">
        <f t="shared" si="15"/>
        <v>项目建筑规模</v>
      </c>
      <c r="AA30" s="1810" t="e">
        <f t="shared" si="3"/>
        <v>#N/A</v>
      </c>
      <c r="AB30" s="1810" t="e">
        <f t="shared" si="4"/>
        <v>#N/A</v>
      </c>
      <c r="AC30" s="1810"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63"/>
      <c r="Q31" s="1809" t="str">
        <f t="shared" si="11"/>
        <v>建筑结构</v>
      </c>
      <c r="R31" s="774" t="s">
        <v>17</v>
      </c>
      <c r="S31" s="775">
        <f t="shared" si="12"/>
        <v>100</v>
      </c>
      <c r="T31" s="774" t="s">
        <v>17</v>
      </c>
      <c r="U31" s="775">
        <f t="shared" si="13"/>
        <v>100</v>
      </c>
      <c r="V31" s="774" t="s">
        <v>17</v>
      </c>
      <c r="W31" s="775">
        <f t="shared" si="14"/>
        <v>100</v>
      </c>
      <c r="X31" s="1812"/>
      <c r="Y31" s="3363"/>
      <c r="Z31" s="1813" t="str">
        <f t="shared" si="15"/>
        <v>建筑结构</v>
      </c>
      <c r="AA31" s="1810">
        <f t="shared" si="3"/>
        <v>1</v>
      </c>
      <c r="AB31" s="1810">
        <f t="shared" si="4"/>
        <v>1</v>
      </c>
      <c r="AC31" s="1810">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63"/>
      <c r="Q32" s="1809" t="str">
        <f t="shared" si="11"/>
        <v>公共部分装修</v>
      </c>
      <c r="R32" s="774" t="s">
        <v>17</v>
      </c>
      <c r="S32" s="775">
        <f t="shared" si="12"/>
        <v>100</v>
      </c>
      <c r="T32" s="774" t="s">
        <v>17</v>
      </c>
      <c r="U32" s="775">
        <f t="shared" si="13"/>
        <v>100</v>
      </c>
      <c r="V32" s="774" t="s">
        <v>17</v>
      </c>
      <c r="W32" s="775">
        <f t="shared" si="14"/>
        <v>100</v>
      </c>
      <c r="X32" s="1812"/>
      <c r="Y32" s="3363"/>
      <c r="Z32" s="1813" t="str">
        <f t="shared" si="15"/>
        <v>公共部分装修</v>
      </c>
      <c r="AA32" s="1810">
        <f t="shared" si="3"/>
        <v>1</v>
      </c>
      <c r="AB32" s="1810">
        <f t="shared" si="4"/>
        <v>1</v>
      </c>
      <c r="AC32" s="1810">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63"/>
      <c r="Q33" s="1809" t="str">
        <f t="shared" si="11"/>
        <v>成新度</v>
      </c>
      <c r="R33" s="774" t="s">
        <v>17</v>
      </c>
      <c r="S33" s="775" t="e">
        <f t="shared" si="12"/>
        <v>#N/A</v>
      </c>
      <c r="T33" s="774" t="s">
        <v>17</v>
      </c>
      <c r="U33" s="775" t="e">
        <f t="shared" si="13"/>
        <v>#N/A</v>
      </c>
      <c r="V33" s="774" t="s">
        <v>17</v>
      </c>
      <c r="W33" s="775" t="e">
        <f t="shared" si="14"/>
        <v>#N/A</v>
      </c>
      <c r="X33" s="1812"/>
      <c r="Y33" s="3363"/>
      <c r="Z33" s="1813" t="str">
        <f t="shared" si="15"/>
        <v>成新度</v>
      </c>
      <c r="AA33" s="1810" t="e">
        <f t="shared" si="3"/>
        <v>#N/A</v>
      </c>
      <c r="AB33" s="1810" t="e">
        <f t="shared" si="4"/>
        <v>#N/A</v>
      </c>
      <c r="AC33" s="1810"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63"/>
      <c r="Q34" s="1794" t="str">
        <f t="shared" si="11"/>
        <v>物业管理</v>
      </c>
      <c r="R34" s="770" t="s">
        <v>17</v>
      </c>
      <c r="S34" s="771">
        <f t="shared" si="12"/>
        <v>100</v>
      </c>
      <c r="T34" s="770" t="s">
        <v>17</v>
      </c>
      <c r="U34" s="771">
        <f t="shared" si="13"/>
        <v>100</v>
      </c>
      <c r="V34" s="770" t="s">
        <v>17</v>
      </c>
      <c r="W34" s="771">
        <f t="shared" si="14"/>
        <v>100</v>
      </c>
      <c r="X34" s="772"/>
      <c r="Y34" s="3363"/>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63" t="s">
        <v>2551</v>
      </c>
      <c r="Q35" s="1809" t="str">
        <f t="shared" si="11"/>
        <v>市政基础设施</v>
      </c>
      <c r="R35" s="774" t="s">
        <v>17</v>
      </c>
      <c r="S35" s="775">
        <f t="shared" si="12"/>
        <v>100</v>
      </c>
      <c r="T35" s="774" t="s">
        <v>17</v>
      </c>
      <c r="U35" s="775">
        <f t="shared" si="13"/>
        <v>100</v>
      </c>
      <c r="V35" s="774" t="s">
        <v>17</v>
      </c>
      <c r="W35" s="775">
        <f t="shared" si="14"/>
        <v>100</v>
      </c>
      <c r="X35" s="1812"/>
      <c r="Y35" s="3363" t="s">
        <v>2551</v>
      </c>
      <c r="Z35" s="1813" t="str">
        <f t="shared" si="15"/>
        <v>市政基础设施</v>
      </c>
      <c r="AA35" s="1810">
        <f t="shared" si="3"/>
        <v>1</v>
      </c>
      <c r="AB35" s="1810">
        <f t="shared" si="4"/>
        <v>1</v>
      </c>
      <c r="AC35" s="1810">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63"/>
      <c r="Q36" s="1809" t="str">
        <f t="shared" si="11"/>
        <v>内部装修</v>
      </c>
      <c r="R36" s="774" t="s">
        <v>17</v>
      </c>
      <c r="S36" s="775">
        <f t="shared" si="12"/>
        <v>100</v>
      </c>
      <c r="T36" s="774" t="s">
        <v>17</v>
      </c>
      <c r="U36" s="775">
        <f t="shared" si="13"/>
        <v>100</v>
      </c>
      <c r="V36" s="774" t="s">
        <v>17</v>
      </c>
      <c r="W36" s="775">
        <f t="shared" si="14"/>
        <v>100</v>
      </c>
      <c r="X36" s="1812"/>
      <c r="Y36" s="3363"/>
      <c r="Z36" s="1813" t="str">
        <f t="shared" si="15"/>
        <v>内部装修</v>
      </c>
      <c r="AA36" s="1810">
        <f t="shared" si="3"/>
        <v>1</v>
      </c>
      <c r="AB36" s="1810">
        <f t="shared" si="4"/>
        <v>1</v>
      </c>
      <c r="AC36" s="1810">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63"/>
      <c r="Q37" s="1809" t="str">
        <f t="shared" si="11"/>
        <v>内部装修状况</v>
      </c>
      <c r="R37" s="774" t="s">
        <v>17</v>
      </c>
      <c r="S37" s="775">
        <f t="shared" si="12"/>
        <v>100</v>
      </c>
      <c r="T37" s="774" t="s">
        <v>17</v>
      </c>
      <c r="U37" s="775">
        <f t="shared" si="13"/>
        <v>100</v>
      </c>
      <c r="V37" s="774" t="s">
        <v>17</v>
      </c>
      <c r="W37" s="775">
        <f t="shared" si="14"/>
        <v>100</v>
      </c>
      <c r="X37" s="1812"/>
      <c r="Y37" s="336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63"/>
      <c r="Q38" s="776">
        <f t="shared" si="11"/>
        <v>111</v>
      </c>
      <c r="R38" s="777" t="s">
        <v>17</v>
      </c>
      <c r="S38" s="778">
        <f t="shared" si="12"/>
        <v>100</v>
      </c>
      <c r="T38" s="777" t="s">
        <v>17</v>
      </c>
      <c r="U38" s="778">
        <f t="shared" si="13"/>
        <v>100</v>
      </c>
      <c r="V38" s="777" t="s">
        <v>17</v>
      </c>
      <c r="W38" s="778">
        <f t="shared" si="14"/>
        <v>100</v>
      </c>
      <c r="X38" s="779"/>
      <c r="Y38" s="336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63"/>
      <c r="Q39" s="1809">
        <f t="shared" si="11"/>
        <v>111</v>
      </c>
      <c r="R39" s="774" t="s">
        <v>17</v>
      </c>
      <c r="S39" s="775">
        <f t="shared" si="12"/>
        <v>100</v>
      </c>
      <c r="T39" s="774" t="s">
        <v>17</v>
      </c>
      <c r="U39" s="775">
        <f t="shared" si="13"/>
        <v>100</v>
      </c>
      <c r="V39" s="774" t="s">
        <v>17</v>
      </c>
      <c r="W39" s="775">
        <f t="shared" si="14"/>
        <v>100</v>
      </c>
      <c r="X39" s="1812"/>
      <c r="Y39" s="3363"/>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409"/>
      <c r="Q40" s="1809">
        <f t="shared" si="11"/>
        <v>111</v>
      </c>
      <c r="R40" s="774" t="s">
        <v>17</v>
      </c>
      <c r="S40" s="775">
        <f t="shared" si="12"/>
        <v>100</v>
      </c>
      <c r="T40" s="774" t="s">
        <v>17</v>
      </c>
      <c r="U40" s="775">
        <f t="shared" si="13"/>
        <v>100</v>
      </c>
      <c r="V40" s="774" t="s">
        <v>17</v>
      </c>
      <c r="W40" s="775">
        <f t="shared" si="14"/>
        <v>100</v>
      </c>
      <c r="X40" s="1812"/>
      <c r="Y40" s="3409"/>
      <c r="Z40" s="1813">
        <f t="shared" si="15"/>
        <v>111</v>
      </c>
      <c r="AA40" s="1810">
        <f t="shared" si="3"/>
        <v>1</v>
      </c>
      <c r="AB40" s="1810">
        <f t="shared" si="4"/>
        <v>1</v>
      </c>
      <c r="AC40" s="1810">
        <f t="shared" si="5"/>
        <v>1</v>
      </c>
    </row>
    <row r="41" spans="1:29" ht="15">
      <c r="A41" s="479" t="s">
        <v>2563</v>
      </c>
      <c r="B41" s="480"/>
      <c r="C41" s="1407" t="s">
        <v>1</v>
      </c>
      <c r="D41" s="1408"/>
      <c r="E41" s="1409"/>
      <c r="F41" s="1410"/>
      <c r="G41" s="1411"/>
      <c r="H41" s="1412"/>
      <c r="I41" s="1409"/>
      <c r="J41" s="1412"/>
      <c r="K41" s="783"/>
      <c r="L41" s="1143"/>
      <c r="M41" s="1144"/>
      <c r="N41" s="1131"/>
      <c r="O41" s="1144"/>
      <c r="P41" s="3345" t="str">
        <f>A41</f>
        <v>成交单价（元/平方米）</v>
      </c>
      <c r="Q41" s="3345"/>
      <c r="R41" s="3405">
        <f>E41</f>
        <v>0</v>
      </c>
      <c r="S41" s="3405"/>
      <c r="T41" s="3405">
        <f>G41</f>
        <v>0</v>
      </c>
      <c r="U41" s="3405"/>
      <c r="V41" s="3405">
        <f>I41</f>
        <v>0</v>
      </c>
      <c r="W41" s="3405"/>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345" t="str">
        <f>A42</f>
        <v>比较价值（元/平方米）</v>
      </c>
      <c r="Q42" s="3345"/>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365" t="str">
        <f>A43</f>
        <v>估价对象XX用房的比较价值（楼面单价，元/平方米）</v>
      </c>
      <c r="Q43" s="3366"/>
      <c r="R43" s="3404" t="e">
        <f>IF(F1="售价",ROUND(AVERAGE(R42:V42),0),ROUND(AVERAGE(R42:V42),1))</f>
        <v>#DIV/0!</v>
      </c>
      <c r="S43" s="3404"/>
      <c r="T43" s="3404"/>
      <c r="U43" s="3404"/>
      <c r="V43" s="3404"/>
      <c r="W43" s="340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2549</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2692</v>
      </c>
      <c r="B1" s="1618"/>
      <c r="C1" s="1619" t="s">
        <v>2516</v>
      </c>
      <c r="D1" s="1620"/>
      <c r="E1" s="1621"/>
      <c r="F1" s="2580"/>
      <c r="G1" s="1622" t="s">
        <v>2628</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346" t="s">
        <v>2631</v>
      </c>
      <c r="D4" s="3347"/>
      <c r="E4" s="3348" t="s">
        <v>2632</v>
      </c>
      <c r="F4" s="3349"/>
      <c r="G4" s="3346" t="s">
        <v>2633</v>
      </c>
      <c r="H4" s="3347"/>
      <c r="I4" s="3346" t="s">
        <v>2634</v>
      </c>
      <c r="J4" s="3347"/>
      <c r="K4" s="610" t="s">
        <v>2635</v>
      </c>
      <c r="L4" s="1130"/>
      <c r="M4" s="1131"/>
      <c r="N4" s="1131"/>
      <c r="O4" s="1131"/>
      <c r="P4" s="3350" t="s">
        <v>2636</v>
      </c>
      <c r="Q4" s="3351"/>
      <c r="R4" s="3333" t="s">
        <v>2632</v>
      </c>
      <c r="S4" s="3334"/>
      <c r="T4" s="3333" t="s">
        <v>2633</v>
      </c>
      <c r="U4" s="3334"/>
      <c r="V4" s="3358" t="s">
        <v>2634</v>
      </c>
      <c r="W4" s="3358"/>
      <c r="X4" s="1812"/>
      <c r="Y4" s="3333" t="s">
        <v>2636</v>
      </c>
      <c r="Z4" s="3334"/>
      <c r="AA4" s="3328" t="s">
        <v>2632</v>
      </c>
      <c r="AB4" s="3329" t="s">
        <v>2633</v>
      </c>
      <c r="AC4" s="3328" t="s">
        <v>2634</v>
      </c>
    </row>
    <row r="5" spans="1:29" ht="15">
      <c r="A5" s="404"/>
      <c r="B5" s="405"/>
      <c r="C5" s="3339" t="s">
        <v>2528</v>
      </c>
      <c r="D5" s="3340"/>
      <c r="E5" s="3337" t="s">
        <v>2529</v>
      </c>
      <c r="F5" s="3338"/>
      <c r="G5" s="3339" t="s">
        <v>2530</v>
      </c>
      <c r="H5" s="3340"/>
      <c r="I5" s="3339" t="s">
        <v>2531</v>
      </c>
      <c r="J5" s="3340"/>
      <c r="K5" s="610"/>
      <c r="L5" s="1130"/>
      <c r="M5" s="1131"/>
      <c r="N5" s="1131"/>
      <c r="O5" s="1131"/>
      <c r="P5" s="3352"/>
      <c r="Q5" s="3353"/>
      <c r="R5" s="3335"/>
      <c r="S5" s="3336"/>
      <c r="T5" s="3335"/>
      <c r="U5" s="3336"/>
      <c r="V5" s="3358"/>
      <c r="W5" s="3358"/>
      <c r="X5" s="1812"/>
      <c r="Y5" s="3335"/>
      <c r="Z5" s="3336"/>
      <c r="AA5" s="3329"/>
      <c r="AB5" s="3329"/>
      <c r="AC5" s="3329"/>
    </row>
    <row r="6" spans="1:29" ht="15.75" thickBot="1">
      <c r="A6" s="406"/>
      <c r="B6" s="407"/>
      <c r="C6" s="3341" t="s">
        <v>2532</v>
      </c>
      <c r="D6" s="3342"/>
      <c r="E6" s="3343" t="s">
        <v>2532</v>
      </c>
      <c r="F6" s="3344"/>
      <c r="G6" s="3341" t="s">
        <v>2532</v>
      </c>
      <c r="H6" s="3342"/>
      <c r="I6" s="3341" t="s">
        <v>2532</v>
      </c>
      <c r="J6" s="3342"/>
      <c r="K6" s="610" t="s">
        <v>2533</v>
      </c>
      <c r="L6" s="1130"/>
      <c r="M6" s="1131"/>
      <c r="N6" s="1131"/>
      <c r="O6" s="1131"/>
      <c r="P6" s="3354"/>
      <c r="Q6" s="3355"/>
      <c r="R6" s="3335"/>
      <c r="S6" s="3336"/>
      <c r="T6" s="3356"/>
      <c r="U6" s="3357"/>
      <c r="V6" s="3358"/>
      <c r="W6" s="3358"/>
      <c r="X6" s="1812"/>
      <c r="Y6" s="3356"/>
      <c r="Z6" s="3357"/>
      <c r="AA6" s="3330"/>
      <c r="AB6" s="3330"/>
      <c r="AC6" s="3330"/>
    </row>
    <row r="7" spans="1:29" s="117" customFormat="1" ht="15.75" thickBot="1">
      <c r="A7" s="408" t="s">
        <v>2534</v>
      </c>
      <c r="B7" s="409"/>
      <c r="C7" s="410">
        <f>'数据-取费表'!B2</f>
        <v>43755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31" t="s">
        <v>2535</v>
      </c>
      <c r="Q7" s="3359"/>
      <c r="R7" s="770" t="s">
        <v>17</v>
      </c>
      <c r="S7" s="771">
        <f t="shared" ref="S7:S14" si="0">F7</f>
        <v>0</v>
      </c>
      <c r="T7" s="770" t="s">
        <v>17</v>
      </c>
      <c r="U7" s="771">
        <f t="shared" ref="U7:U14" si="1">H7</f>
        <v>0</v>
      </c>
      <c r="V7" s="770" t="s">
        <v>17</v>
      </c>
      <c r="W7" s="771">
        <f t="shared" ref="W7:W14" si="2">J7</f>
        <v>0</v>
      </c>
      <c r="X7" s="772"/>
      <c r="Y7" s="3331" t="s">
        <v>2535</v>
      </c>
      <c r="Z7" s="3332"/>
      <c r="AA7" s="773" t="e">
        <f>D7/F7</f>
        <v>#DIV/0!</v>
      </c>
      <c r="AB7" s="773" t="e">
        <f>D7/H7</f>
        <v>#DIV/0!</v>
      </c>
      <c r="AC7" s="773" t="e">
        <f>D7/J7</f>
        <v>#DIV/0!</v>
      </c>
    </row>
    <row r="8" spans="1:29" s="117" customFormat="1" ht="15.75" thickBot="1">
      <c r="A8" s="408" t="s">
        <v>2536</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31" t="s">
        <v>2538</v>
      </c>
      <c r="Q8" s="3332"/>
      <c r="R8" s="770" t="s">
        <v>17</v>
      </c>
      <c r="S8" s="771">
        <f t="shared" si="0"/>
        <v>0</v>
      </c>
      <c r="T8" s="770" t="s">
        <v>17</v>
      </c>
      <c r="U8" s="771">
        <f t="shared" si="1"/>
        <v>0</v>
      </c>
      <c r="V8" s="770" t="s">
        <v>17</v>
      </c>
      <c r="W8" s="771">
        <f t="shared" si="2"/>
        <v>0</v>
      </c>
      <c r="X8" s="772"/>
      <c r="Y8" s="3331" t="s">
        <v>2538</v>
      </c>
      <c r="Z8" s="3332"/>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45" t="s">
        <v>2541</v>
      </c>
      <c r="Q9" s="1794" t="str">
        <f t="shared" ref="Q9:Q14" si="6">B9</f>
        <v>用途</v>
      </c>
      <c r="R9" s="770" t="s">
        <v>17</v>
      </c>
      <c r="S9" s="771">
        <f t="shared" si="0"/>
        <v>100</v>
      </c>
      <c r="T9" s="770" t="s">
        <v>17</v>
      </c>
      <c r="U9" s="771">
        <f t="shared" si="1"/>
        <v>100</v>
      </c>
      <c r="V9" s="770" t="s">
        <v>17</v>
      </c>
      <c r="W9" s="771">
        <f t="shared" si="2"/>
        <v>100</v>
      </c>
      <c r="X9" s="772"/>
      <c r="Y9" s="3147"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45"/>
      <c r="Q10" s="1794"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45"/>
      <c r="Q11" s="1794">
        <f t="shared" si="6"/>
        <v>111</v>
      </c>
      <c r="R11" s="770" t="s">
        <v>17</v>
      </c>
      <c r="S11" s="771">
        <f t="shared" si="0"/>
        <v>100</v>
      </c>
      <c r="T11" s="770" t="s">
        <v>17</v>
      </c>
      <c r="U11" s="771">
        <f t="shared" si="1"/>
        <v>100</v>
      </c>
      <c r="V11" s="770" t="s">
        <v>17</v>
      </c>
      <c r="W11" s="771">
        <f t="shared" si="2"/>
        <v>100</v>
      </c>
      <c r="X11" s="772"/>
      <c r="Y11" s="314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45"/>
      <c r="Q12" s="1794">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45"/>
      <c r="Q13" s="1794">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773">
        <f t="shared" si="5"/>
        <v>1</v>
      </c>
    </row>
    <row r="14" spans="1:29" ht="15">
      <c r="A14" s="401" t="s">
        <v>2545</v>
      </c>
      <c r="B14" s="629" t="s">
        <v>2694</v>
      </c>
      <c r="C14" s="2688"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60" t="s">
        <v>2546</v>
      </c>
      <c r="Q14" s="1809" t="str">
        <f t="shared" si="6"/>
        <v>交通便捷度</v>
      </c>
      <c r="R14" s="774" t="s">
        <v>17</v>
      </c>
      <c r="S14" s="775">
        <f t="shared" si="0"/>
        <v>100</v>
      </c>
      <c r="T14" s="774" t="s">
        <v>17</v>
      </c>
      <c r="U14" s="775">
        <f t="shared" si="1"/>
        <v>100</v>
      </c>
      <c r="V14" s="774" t="s">
        <v>17</v>
      </c>
      <c r="W14" s="775">
        <f t="shared" si="2"/>
        <v>100</v>
      </c>
      <c r="X14" s="1812"/>
      <c r="Y14" s="3360" t="s">
        <v>2546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361"/>
      <c r="Q15" s="1809"/>
      <c r="R15" s="774"/>
      <c r="S15" s="775"/>
      <c r="T15" s="774"/>
      <c r="U15" s="775"/>
      <c r="V15" s="774"/>
      <c r="W15" s="775"/>
      <c r="X15" s="1812"/>
      <c r="Y15" s="3361"/>
      <c r="Z15" s="1813"/>
      <c r="AA15" s="1810">
        <v>1</v>
      </c>
      <c r="AB15" s="1810">
        <v>1</v>
      </c>
      <c r="AC15" s="1810">
        <v>1</v>
      </c>
    </row>
    <row r="16" spans="1:29" ht="15">
      <c r="A16" s="404"/>
      <c r="B16" s="631" t="s">
        <v>2673</v>
      </c>
      <c r="C16" s="260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61"/>
      <c r="Q16" s="1809" t="str">
        <f>B16</f>
        <v>公共配套设施</v>
      </c>
      <c r="R16" s="774" t="s">
        <v>17</v>
      </c>
      <c r="S16" s="775">
        <f>F16</f>
        <v>100</v>
      </c>
      <c r="T16" s="774" t="s">
        <v>17</v>
      </c>
      <c r="U16" s="775">
        <f>H16</f>
        <v>100</v>
      </c>
      <c r="V16" s="774" t="s">
        <v>17</v>
      </c>
      <c r="W16" s="775">
        <f>J16</f>
        <v>100</v>
      </c>
      <c r="X16" s="1812"/>
      <c r="Y16" s="3361"/>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361"/>
      <c r="Q17" s="1809"/>
      <c r="R17" s="774"/>
      <c r="S17" s="775"/>
      <c r="T17" s="774"/>
      <c r="U17" s="775"/>
      <c r="V17" s="774"/>
      <c r="W17" s="775"/>
      <c r="X17" s="1812"/>
      <c r="Y17" s="3361"/>
      <c r="Z17" s="1813"/>
      <c r="AA17" s="1810">
        <v>1</v>
      </c>
      <c r="AB17" s="1810">
        <v>1</v>
      </c>
      <c r="AC17" s="1810">
        <v>1</v>
      </c>
    </row>
    <row r="18" spans="1:29" ht="15">
      <c r="A18" s="404"/>
      <c r="B18" s="633" t="s">
        <v>2674</v>
      </c>
      <c r="C18" s="2603"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61"/>
      <c r="Q18" s="1809" t="str">
        <f>B18</f>
        <v>基础设施水平</v>
      </c>
      <c r="R18" s="774" t="s">
        <v>17</v>
      </c>
      <c r="S18" s="775">
        <f>F18</f>
        <v>100</v>
      </c>
      <c r="T18" s="774" t="s">
        <v>17</v>
      </c>
      <c r="U18" s="775">
        <f>H18</f>
        <v>100</v>
      </c>
      <c r="V18" s="774" t="s">
        <v>17</v>
      </c>
      <c r="W18" s="775">
        <f>J18</f>
        <v>100</v>
      </c>
      <c r="X18" s="1812"/>
      <c r="Y18" s="3361"/>
      <c r="Z18" s="1813" t="str">
        <f>Q18</f>
        <v>基础设施水平</v>
      </c>
      <c r="AA18" s="1810">
        <f t="shared" ref="AA18" si="8">D18/F18</f>
        <v>1</v>
      </c>
      <c r="AB18" s="1810">
        <f t="shared" ref="AB18" si="9">D18/H18</f>
        <v>1</v>
      </c>
      <c r="AC18" s="1810">
        <f t="shared" ref="AC18" si="10">D18/J18</f>
        <v>1</v>
      </c>
    </row>
    <row r="19" spans="1:29" ht="15">
      <c r="A19" s="404"/>
      <c r="B19" s="633"/>
      <c r="C19" s="2604"/>
      <c r="D19" s="450"/>
      <c r="E19" s="2604"/>
      <c r="F19" s="453"/>
      <c r="G19" s="2604"/>
      <c r="H19" s="448"/>
      <c r="I19" s="447"/>
      <c r="J19" s="448"/>
      <c r="K19" s="1383"/>
      <c r="L19" s="1140"/>
      <c r="M19" s="1131"/>
      <c r="N19" s="1131"/>
      <c r="O19" s="1131"/>
      <c r="P19" s="3361"/>
      <c r="Q19" s="1809"/>
      <c r="R19" s="774"/>
      <c r="S19" s="775"/>
      <c r="T19" s="774"/>
      <c r="U19" s="775"/>
      <c r="V19" s="774"/>
      <c r="W19" s="775"/>
      <c r="X19" s="1812"/>
      <c r="Y19" s="3361"/>
      <c r="Z19" s="1813"/>
      <c r="AA19" s="1810">
        <v>1</v>
      </c>
      <c r="AB19" s="1810">
        <v>1</v>
      </c>
      <c r="AC19" s="1810">
        <v>1</v>
      </c>
    </row>
    <row r="20" spans="1:29" ht="15">
      <c r="A20" s="404"/>
      <c r="B20" s="631" t="s">
        <v>2695</v>
      </c>
      <c r="C20" s="2603"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61"/>
      <c r="Q20" s="1809" t="str">
        <f>B20</f>
        <v>自然及人文环境</v>
      </c>
      <c r="R20" s="774" t="s">
        <v>17</v>
      </c>
      <c r="S20" s="775">
        <f>F20</f>
        <v>100</v>
      </c>
      <c r="T20" s="774" t="s">
        <v>17</v>
      </c>
      <c r="U20" s="775">
        <f>H20</f>
        <v>100</v>
      </c>
      <c r="V20" s="774" t="s">
        <v>17</v>
      </c>
      <c r="W20" s="775">
        <f>J20</f>
        <v>100</v>
      </c>
      <c r="X20" s="1812"/>
      <c r="Y20" s="336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361"/>
      <c r="Q21" s="1809"/>
      <c r="R21" s="774"/>
      <c r="S21" s="775"/>
      <c r="T21" s="774"/>
      <c r="U21" s="775"/>
      <c r="V21" s="774"/>
      <c r="W21" s="775"/>
      <c r="X21" s="1812"/>
      <c r="Y21" s="3361"/>
      <c r="Z21" s="1813"/>
      <c r="AA21" s="1810">
        <v>1</v>
      </c>
      <c r="AB21" s="1810">
        <v>1</v>
      </c>
      <c r="AC21" s="1810">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61"/>
      <c r="Q22" s="1809" t="str">
        <f>B22</f>
        <v>楼层</v>
      </c>
      <c r="R22" s="774" t="s">
        <v>17</v>
      </c>
      <c r="S22" s="775">
        <f>F22</f>
        <v>100</v>
      </c>
      <c r="T22" s="774" t="s">
        <v>17</v>
      </c>
      <c r="U22" s="775">
        <f>H22</f>
        <v>100</v>
      </c>
      <c r="V22" s="774" t="s">
        <v>17</v>
      </c>
      <c r="W22" s="775">
        <f>J22</f>
        <v>100</v>
      </c>
      <c r="X22" s="1812"/>
      <c r="Y22" s="336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61"/>
      <c r="Q23" s="1809">
        <f>B23</f>
        <v>111</v>
      </c>
      <c r="R23" s="774" t="s">
        <v>17</v>
      </c>
      <c r="S23" s="775">
        <f>F23</f>
        <v>100</v>
      </c>
      <c r="T23" s="774" t="s">
        <v>17</v>
      </c>
      <c r="U23" s="775">
        <f>H23</f>
        <v>100</v>
      </c>
      <c r="V23" s="774" t="s">
        <v>17</v>
      </c>
      <c r="W23" s="775">
        <f>J23</f>
        <v>100</v>
      </c>
      <c r="X23" s="1812"/>
      <c r="Y23" s="336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61"/>
      <c r="Q24" s="1809">
        <f t="shared" ref="Q24:Q36" si="11">B24</f>
        <v>111</v>
      </c>
      <c r="R24" s="774" t="s">
        <v>17</v>
      </c>
      <c r="S24" s="775">
        <f>F24</f>
        <v>100</v>
      </c>
      <c r="T24" s="774" t="s">
        <v>17</v>
      </c>
      <c r="U24" s="775">
        <f>H24</f>
        <v>100</v>
      </c>
      <c r="V24" s="774" t="s">
        <v>17</v>
      </c>
      <c r="W24" s="775">
        <f>J24</f>
        <v>100</v>
      </c>
      <c r="X24" s="1812"/>
      <c r="Y24" s="336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61"/>
      <c r="Q25" s="1794">
        <f t="shared" si="11"/>
        <v>111</v>
      </c>
      <c r="R25" s="770" t="s">
        <v>17</v>
      </c>
      <c r="S25" s="771">
        <f>F25</f>
        <v>100</v>
      </c>
      <c r="T25" s="770" t="s">
        <v>17</v>
      </c>
      <c r="U25" s="771">
        <f>H25</f>
        <v>100</v>
      </c>
      <c r="V25" s="770" t="s">
        <v>17</v>
      </c>
      <c r="W25" s="771">
        <f>J25</f>
        <v>100</v>
      </c>
      <c r="X25" s="772"/>
      <c r="Y25" s="3361"/>
      <c r="Z25" s="55">
        <f>Q25</f>
        <v>111</v>
      </c>
      <c r="AA25" s="1810">
        <f>D25/F25</f>
        <v>1</v>
      </c>
      <c r="AB25" s="1810">
        <f>D25/H25</f>
        <v>1</v>
      </c>
      <c r="AC25" s="1810">
        <f>D25/J25</f>
        <v>1</v>
      </c>
    </row>
    <row r="26" spans="1:29" ht="28.5">
      <c r="A26" s="652" t="s">
        <v>2549</v>
      </c>
      <c r="B26" s="70" t="s">
        <v>2697</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62" t="s">
        <v>2551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363" t="s">
        <v>2551</v>
      </c>
      <c r="Z26" s="1813" t="str">
        <f t="shared" ref="Z26:Z36" si="15">Q26</f>
        <v>配套类型</v>
      </c>
      <c r="AA26" s="1810">
        <f t="shared" si="3"/>
        <v>1</v>
      </c>
      <c r="AB26" s="1810">
        <f t="shared" si="4"/>
        <v>1</v>
      </c>
      <c r="AC26" s="1810">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63"/>
      <c r="Q27" s="776" t="str">
        <f t="shared" si="11"/>
        <v>项目停车位配比</v>
      </c>
      <c r="R27" s="777" t="s">
        <v>17</v>
      </c>
      <c r="S27" s="778">
        <f t="shared" si="12"/>
        <v>100</v>
      </c>
      <c r="T27" s="777" t="s">
        <v>17</v>
      </c>
      <c r="U27" s="778">
        <f t="shared" si="13"/>
        <v>100</v>
      </c>
      <c r="V27" s="777" t="s">
        <v>17</v>
      </c>
      <c r="W27" s="778">
        <f t="shared" si="14"/>
        <v>100</v>
      </c>
      <c r="X27" s="779"/>
      <c r="Y27" s="3363"/>
      <c r="Z27" s="780" t="str">
        <f t="shared" si="15"/>
        <v>项目停车位配比</v>
      </c>
      <c r="AA27" s="1810">
        <f t="shared" si="3"/>
        <v>1</v>
      </c>
      <c r="AB27" s="1810">
        <f t="shared" si="4"/>
        <v>1</v>
      </c>
      <c r="AC27" s="1810">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63"/>
      <c r="Q28" s="1809" t="str">
        <f t="shared" si="11"/>
        <v>公共部分装修</v>
      </c>
      <c r="R28" s="774" t="s">
        <v>17</v>
      </c>
      <c r="S28" s="775">
        <f t="shared" si="12"/>
        <v>100</v>
      </c>
      <c r="T28" s="774" t="s">
        <v>17</v>
      </c>
      <c r="U28" s="775">
        <f t="shared" si="13"/>
        <v>100</v>
      </c>
      <c r="V28" s="774" t="s">
        <v>17</v>
      </c>
      <c r="W28" s="775">
        <f t="shared" si="14"/>
        <v>100</v>
      </c>
      <c r="X28" s="1812"/>
      <c r="Y28" s="3363"/>
      <c r="Z28" s="1813" t="str">
        <f t="shared" si="15"/>
        <v>公共部分装修</v>
      </c>
      <c r="AA28" s="1810">
        <f t="shared" si="3"/>
        <v>1</v>
      </c>
      <c r="AB28" s="1810">
        <f t="shared" si="4"/>
        <v>1</v>
      </c>
      <c r="AC28" s="1810">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63"/>
      <c r="Q29" s="1809" t="str">
        <f t="shared" si="11"/>
        <v>成新率</v>
      </c>
      <c r="R29" s="774" t="s">
        <v>17</v>
      </c>
      <c r="S29" s="775" t="e">
        <f t="shared" si="12"/>
        <v>#N/A</v>
      </c>
      <c r="T29" s="774" t="s">
        <v>17</v>
      </c>
      <c r="U29" s="775" t="e">
        <f t="shared" si="13"/>
        <v>#N/A</v>
      </c>
      <c r="V29" s="774" t="s">
        <v>17</v>
      </c>
      <c r="W29" s="775" t="e">
        <f t="shared" si="14"/>
        <v>#N/A</v>
      </c>
      <c r="X29" s="1812"/>
      <c r="Y29" s="3363"/>
      <c r="Z29" s="1813" t="str">
        <f t="shared" si="15"/>
        <v>成新率</v>
      </c>
      <c r="AA29" s="1810" t="e">
        <f t="shared" si="3"/>
        <v>#N/A</v>
      </c>
      <c r="AB29" s="1810" t="e">
        <f t="shared" si="4"/>
        <v>#N/A</v>
      </c>
      <c r="AC29" s="1810"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63"/>
      <c r="Q30" s="1809" t="str">
        <f t="shared" si="11"/>
        <v>物业等级</v>
      </c>
      <c r="R30" s="774" t="s">
        <v>17</v>
      </c>
      <c r="S30" s="775">
        <f t="shared" si="12"/>
        <v>100</v>
      </c>
      <c r="T30" s="774" t="s">
        <v>17</v>
      </c>
      <c r="U30" s="775">
        <f t="shared" si="13"/>
        <v>100</v>
      </c>
      <c r="V30" s="774" t="s">
        <v>17</v>
      </c>
      <c r="W30" s="775">
        <f t="shared" si="14"/>
        <v>100</v>
      </c>
      <c r="X30" s="1812"/>
      <c r="Y30" s="3363"/>
      <c r="Z30" s="1813" t="str">
        <f t="shared" si="15"/>
        <v>物业等级</v>
      </c>
      <c r="AA30" s="1810">
        <f t="shared" si="3"/>
        <v>1</v>
      </c>
      <c r="AB30" s="1810">
        <f t="shared" si="4"/>
        <v>1</v>
      </c>
      <c r="AC30" s="1810">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63"/>
      <c r="Q31" s="1794" t="str">
        <f t="shared" si="11"/>
        <v>停车位面积</v>
      </c>
      <c r="R31" s="770" t="s">
        <v>17</v>
      </c>
      <c r="S31" s="771" t="e">
        <f t="shared" si="12"/>
        <v>#N/A</v>
      </c>
      <c r="T31" s="770" t="s">
        <v>17</v>
      </c>
      <c r="U31" s="771" t="e">
        <f t="shared" si="13"/>
        <v>#N/A</v>
      </c>
      <c r="V31" s="770" t="s">
        <v>17</v>
      </c>
      <c r="W31" s="771" t="e">
        <f t="shared" si="14"/>
        <v>#N/A</v>
      </c>
      <c r="X31" s="772"/>
      <c r="Y31" s="3363"/>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63" t="s">
        <v>2551</v>
      </c>
      <c r="Q32" s="1809" t="str">
        <f t="shared" si="11"/>
        <v>车位类型</v>
      </c>
      <c r="R32" s="774" t="s">
        <v>17</v>
      </c>
      <c r="S32" s="775">
        <f t="shared" si="12"/>
        <v>100</v>
      </c>
      <c r="T32" s="774" t="s">
        <v>17</v>
      </c>
      <c r="U32" s="775">
        <f t="shared" si="13"/>
        <v>100</v>
      </c>
      <c r="V32" s="774" t="s">
        <v>17</v>
      </c>
      <c r="W32" s="775">
        <f t="shared" si="14"/>
        <v>100</v>
      </c>
      <c r="X32" s="1812"/>
      <c r="Y32" s="3363" t="s">
        <v>2551</v>
      </c>
      <c r="Z32" s="1813" t="str">
        <f t="shared" si="15"/>
        <v>车位类型</v>
      </c>
      <c r="AA32" s="1810">
        <f t="shared" si="3"/>
        <v>1</v>
      </c>
      <c r="AB32" s="1810">
        <f t="shared" si="4"/>
        <v>1</v>
      </c>
      <c r="AC32" s="1810">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63"/>
      <c r="Q33" s="1809" t="str">
        <f t="shared" si="11"/>
        <v>是否直接入户</v>
      </c>
      <c r="R33" s="774" t="s">
        <v>17</v>
      </c>
      <c r="S33" s="775">
        <f t="shared" si="12"/>
        <v>100</v>
      </c>
      <c r="T33" s="774" t="s">
        <v>17</v>
      </c>
      <c r="U33" s="775">
        <f t="shared" si="13"/>
        <v>100</v>
      </c>
      <c r="V33" s="774" t="s">
        <v>17</v>
      </c>
      <c r="W33" s="775">
        <f t="shared" si="14"/>
        <v>100</v>
      </c>
      <c r="X33" s="1812"/>
      <c r="Y33" s="336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63"/>
      <c r="Q34" s="1809">
        <f t="shared" si="11"/>
        <v>111</v>
      </c>
      <c r="R34" s="774" t="s">
        <v>17</v>
      </c>
      <c r="S34" s="775">
        <f t="shared" si="12"/>
        <v>100</v>
      </c>
      <c r="T34" s="774" t="s">
        <v>17</v>
      </c>
      <c r="U34" s="775">
        <f t="shared" si="13"/>
        <v>100</v>
      </c>
      <c r="V34" s="774" t="s">
        <v>17</v>
      </c>
      <c r="W34" s="775">
        <f t="shared" si="14"/>
        <v>100</v>
      </c>
      <c r="X34" s="1812"/>
      <c r="Y34" s="336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63"/>
      <c r="Q35" s="776">
        <f t="shared" si="11"/>
        <v>111</v>
      </c>
      <c r="R35" s="777" t="s">
        <v>17</v>
      </c>
      <c r="S35" s="778">
        <f t="shared" si="12"/>
        <v>100</v>
      </c>
      <c r="T35" s="777" t="s">
        <v>17</v>
      </c>
      <c r="U35" s="778">
        <f t="shared" si="13"/>
        <v>100</v>
      </c>
      <c r="V35" s="777" t="s">
        <v>17</v>
      </c>
      <c r="W35" s="778">
        <f t="shared" si="14"/>
        <v>100</v>
      </c>
      <c r="X35" s="779"/>
      <c r="Y35" s="336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63"/>
      <c r="Q36" s="1809">
        <f t="shared" si="11"/>
        <v>111</v>
      </c>
      <c r="R36" s="774" t="s">
        <v>17</v>
      </c>
      <c r="S36" s="775">
        <f t="shared" si="12"/>
        <v>100</v>
      </c>
      <c r="T36" s="774" t="s">
        <v>17</v>
      </c>
      <c r="U36" s="775">
        <f t="shared" si="13"/>
        <v>100</v>
      </c>
      <c r="V36" s="774" t="s">
        <v>17</v>
      </c>
      <c r="W36" s="775">
        <f t="shared" si="14"/>
        <v>100</v>
      </c>
      <c r="X36" s="1812"/>
      <c r="Y36" s="3363"/>
      <c r="Z36" s="1813">
        <f t="shared" si="15"/>
        <v>111</v>
      </c>
      <c r="AA36" s="1810">
        <f t="shared" si="3"/>
        <v>1</v>
      </c>
      <c r="AB36" s="1810">
        <f t="shared" si="4"/>
        <v>1</v>
      </c>
      <c r="AC36" s="1810">
        <f t="shared" si="5"/>
        <v>1</v>
      </c>
    </row>
    <row r="37" spans="1:29" ht="15">
      <c r="A37" s="479" t="s">
        <v>2705</v>
      </c>
      <c r="B37" s="2690" t="s">
        <v>2706</v>
      </c>
      <c r="C37" s="1407" t="s">
        <v>1</v>
      </c>
      <c r="D37" s="1408"/>
      <c r="E37" s="1409"/>
      <c r="F37" s="1410"/>
      <c r="G37" s="1411"/>
      <c r="H37" s="1412"/>
      <c r="I37" s="1409"/>
      <c r="J37" s="1412"/>
      <c r="K37" s="619"/>
      <c r="L37" s="1143"/>
      <c r="M37" s="1144"/>
      <c r="N37" s="1131"/>
      <c r="O37" s="1144"/>
      <c r="P37" s="3345" t="str">
        <f>A37</f>
        <v>成交单价</v>
      </c>
      <c r="Q37" s="3345"/>
      <c r="R37" s="3405">
        <f>E37</f>
        <v>0</v>
      </c>
      <c r="S37" s="3405"/>
      <c r="T37" s="3405">
        <f>G37</f>
        <v>0</v>
      </c>
      <c r="U37" s="3405"/>
      <c r="V37" s="3405">
        <f>I37</f>
        <v>0</v>
      </c>
      <c r="W37" s="3405"/>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45" t="str">
        <f>A38</f>
        <v>比较价值（元/平方米）</v>
      </c>
      <c r="Q38" s="3345"/>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365" t="str">
        <f>A39</f>
        <v>估价对象XX用房的比较价值（楼面单价，元/平方米）</v>
      </c>
      <c r="Q39" s="3366"/>
      <c r="R39" s="3404" t="e">
        <f>IF(F1="售价",ROUND(AVERAGE(R38:V38),0),ROUND(AVERAGE(R38:V38),1))</f>
        <v>#DIV/0!</v>
      </c>
      <c r="S39" s="3404"/>
      <c r="T39" s="3404"/>
      <c r="U39" s="3404"/>
      <c r="V39" s="3404"/>
      <c r="W39" s="340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2692</v>
      </c>
      <c r="B1" s="1618"/>
      <c r="C1" s="1619" t="s">
        <v>2516</v>
      </c>
      <c r="D1" s="1620"/>
      <c r="E1" s="1629"/>
      <c r="F1" s="2580"/>
      <c r="G1" s="1630" t="s">
        <v>2628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346" t="s">
        <v>2631</v>
      </c>
      <c r="D4" s="3347"/>
      <c r="E4" s="3348" t="s">
        <v>2632</v>
      </c>
      <c r="F4" s="3349"/>
      <c r="G4" s="3346" t="s">
        <v>2633</v>
      </c>
      <c r="H4" s="3347"/>
      <c r="I4" s="3346" t="s">
        <v>2634</v>
      </c>
      <c r="J4" s="3347"/>
      <c r="K4" s="610" t="s">
        <v>2635</v>
      </c>
      <c r="L4" s="1130"/>
      <c r="M4" s="1131"/>
      <c r="N4" s="1131"/>
      <c r="O4" s="1131"/>
      <c r="P4" s="3350" t="s">
        <v>2636</v>
      </c>
      <c r="Q4" s="3351"/>
      <c r="R4" s="3333" t="s">
        <v>2632</v>
      </c>
      <c r="S4" s="3334"/>
      <c r="T4" s="3333" t="s">
        <v>2633</v>
      </c>
      <c r="U4" s="3334"/>
      <c r="V4" s="3358" t="s">
        <v>2634</v>
      </c>
      <c r="W4" s="3358"/>
      <c r="X4" s="1812"/>
      <c r="Y4" s="3333" t="s">
        <v>2636</v>
      </c>
      <c r="Z4" s="3334"/>
      <c r="AA4" s="3328" t="s">
        <v>2632</v>
      </c>
      <c r="AB4" s="3329" t="s">
        <v>2633</v>
      </c>
      <c r="AC4" s="3328" t="s">
        <v>2634</v>
      </c>
    </row>
    <row r="5" spans="1:29" ht="15">
      <c r="A5" s="404"/>
      <c r="B5" s="405"/>
      <c r="C5" s="3339" t="s">
        <v>2528</v>
      </c>
      <c r="D5" s="3340"/>
      <c r="E5" s="3337" t="s">
        <v>2529</v>
      </c>
      <c r="F5" s="3338"/>
      <c r="G5" s="3339" t="s">
        <v>2530</v>
      </c>
      <c r="H5" s="3340"/>
      <c r="I5" s="3339" t="s">
        <v>2531</v>
      </c>
      <c r="J5" s="3340"/>
      <c r="K5" s="610"/>
      <c r="L5" s="1130"/>
      <c r="M5" s="1131"/>
      <c r="N5" s="1131"/>
      <c r="O5" s="1131"/>
      <c r="P5" s="3352"/>
      <c r="Q5" s="3353"/>
      <c r="R5" s="3335"/>
      <c r="S5" s="3336"/>
      <c r="T5" s="3335"/>
      <c r="U5" s="3336"/>
      <c r="V5" s="3358"/>
      <c r="W5" s="3358"/>
      <c r="X5" s="1812"/>
      <c r="Y5" s="3335"/>
      <c r="Z5" s="3336"/>
      <c r="AA5" s="3329"/>
      <c r="AB5" s="3329"/>
      <c r="AC5" s="3329"/>
    </row>
    <row r="6" spans="1:29" ht="15.75" thickBot="1">
      <c r="A6" s="406"/>
      <c r="B6" s="407"/>
      <c r="C6" s="3341" t="s">
        <v>2532</v>
      </c>
      <c r="D6" s="3342"/>
      <c r="E6" s="3343" t="s">
        <v>2532</v>
      </c>
      <c r="F6" s="3344"/>
      <c r="G6" s="3341" t="s">
        <v>2532</v>
      </c>
      <c r="H6" s="3342"/>
      <c r="I6" s="3341" t="s">
        <v>2532</v>
      </c>
      <c r="J6" s="3342"/>
      <c r="K6" s="610" t="s">
        <v>2533</v>
      </c>
      <c r="L6" s="1130"/>
      <c r="M6" s="1131"/>
      <c r="N6" s="1131"/>
      <c r="O6" s="1131"/>
      <c r="P6" s="3354"/>
      <c r="Q6" s="3355"/>
      <c r="R6" s="3335"/>
      <c r="S6" s="3336"/>
      <c r="T6" s="3356"/>
      <c r="U6" s="3357"/>
      <c r="V6" s="3358"/>
      <c r="W6" s="3358"/>
      <c r="X6" s="1812"/>
      <c r="Y6" s="3356"/>
      <c r="Z6" s="3357"/>
      <c r="AA6" s="3330"/>
      <c r="AB6" s="3330"/>
      <c r="AC6" s="3330"/>
    </row>
    <row r="7" spans="1:29" s="117" customFormat="1" ht="15.75" thickBot="1">
      <c r="A7" s="408" t="s">
        <v>2534</v>
      </c>
      <c r="B7" s="409"/>
      <c r="C7" s="410">
        <f>'数据-取费表'!B2</f>
        <v>43755</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331" t="s">
        <v>2535</v>
      </c>
      <c r="Q7" s="3359"/>
      <c r="R7" s="770" t="s">
        <v>17</v>
      </c>
      <c r="S7" s="771">
        <f t="shared" ref="S7:S14" si="0">F7</f>
        <v>0</v>
      </c>
      <c r="T7" s="770" t="s">
        <v>17</v>
      </c>
      <c r="U7" s="771">
        <f t="shared" ref="U7:U14" si="1">H7</f>
        <v>0</v>
      </c>
      <c r="V7" s="770" t="s">
        <v>17</v>
      </c>
      <c r="W7" s="771">
        <f t="shared" ref="W7:W14" si="2">J7</f>
        <v>0</v>
      </c>
      <c r="X7" s="772"/>
      <c r="Y7" s="3331" t="s">
        <v>2535</v>
      </c>
      <c r="Z7" s="3332"/>
      <c r="AA7" s="773" t="e">
        <f>D7/F7</f>
        <v>#DIV/0!</v>
      </c>
      <c r="AB7" s="773" t="e">
        <f>D7/H7</f>
        <v>#DIV/0!</v>
      </c>
      <c r="AC7" s="773" t="e">
        <f>D7/J7</f>
        <v>#DIV/0!</v>
      </c>
    </row>
    <row r="8" spans="1:29" s="117" customFormat="1" ht="15.75" thickBot="1">
      <c r="A8" s="408" t="s">
        <v>2536</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31" t="s">
        <v>2538</v>
      </c>
      <c r="Q8" s="3332"/>
      <c r="R8" s="770" t="s">
        <v>17</v>
      </c>
      <c r="S8" s="771">
        <f t="shared" si="0"/>
        <v>0</v>
      </c>
      <c r="T8" s="770" t="s">
        <v>17</v>
      </c>
      <c r="U8" s="771">
        <f t="shared" si="1"/>
        <v>0</v>
      </c>
      <c r="V8" s="770" t="s">
        <v>17</v>
      </c>
      <c r="W8" s="771">
        <f t="shared" si="2"/>
        <v>0</v>
      </c>
      <c r="X8" s="772"/>
      <c r="Y8" s="3331" t="s">
        <v>2538</v>
      </c>
      <c r="Z8" s="3332"/>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45" t="s">
        <v>2541</v>
      </c>
      <c r="Q9" s="1794" t="str">
        <f t="shared" ref="Q9:Q14" si="6">B9</f>
        <v>用途</v>
      </c>
      <c r="R9" s="770" t="s">
        <v>17</v>
      </c>
      <c r="S9" s="771">
        <f t="shared" si="0"/>
        <v>100</v>
      </c>
      <c r="T9" s="770" t="s">
        <v>17</v>
      </c>
      <c r="U9" s="771">
        <f t="shared" si="1"/>
        <v>100</v>
      </c>
      <c r="V9" s="770" t="s">
        <v>17</v>
      </c>
      <c r="W9" s="771">
        <f t="shared" si="2"/>
        <v>100</v>
      </c>
      <c r="X9" s="772"/>
      <c r="Y9" s="3147"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45"/>
      <c r="Q10" s="1794"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45"/>
      <c r="Q11" s="1794">
        <f t="shared" si="6"/>
        <v>111</v>
      </c>
      <c r="R11" s="770" t="s">
        <v>17</v>
      </c>
      <c r="S11" s="771">
        <f t="shared" si="0"/>
        <v>100</v>
      </c>
      <c r="T11" s="770" t="s">
        <v>17</v>
      </c>
      <c r="U11" s="771">
        <f t="shared" si="1"/>
        <v>100</v>
      </c>
      <c r="V11" s="770" t="s">
        <v>17</v>
      </c>
      <c r="W11" s="771">
        <f t="shared" si="2"/>
        <v>100</v>
      </c>
      <c r="X11" s="772"/>
      <c r="Y11" s="3147"/>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45"/>
      <c r="Q12" s="1794">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345"/>
      <c r="Q13" s="1794">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773">
        <f t="shared" si="5"/>
        <v>1</v>
      </c>
    </row>
    <row r="14" spans="1:29" ht="15">
      <c r="A14" s="440" t="s">
        <v>2545</v>
      </c>
      <c r="B14" s="69" t="s">
        <v>2694</v>
      </c>
      <c r="C14" s="2688"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60" t="s">
        <v>2546</v>
      </c>
      <c r="Q14" s="1809" t="str">
        <f t="shared" si="6"/>
        <v>交通便捷度</v>
      </c>
      <c r="R14" s="774" t="s">
        <v>17</v>
      </c>
      <c r="S14" s="775">
        <f t="shared" si="0"/>
        <v>100</v>
      </c>
      <c r="T14" s="774" t="s">
        <v>17</v>
      </c>
      <c r="U14" s="775">
        <f t="shared" si="1"/>
        <v>100</v>
      </c>
      <c r="V14" s="774" t="s">
        <v>17</v>
      </c>
      <c r="W14" s="775">
        <f t="shared" si="2"/>
        <v>100</v>
      </c>
      <c r="X14" s="1812"/>
      <c r="Y14" s="3360" t="s">
        <v>2546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361"/>
      <c r="Q15" s="1809"/>
      <c r="R15" s="774"/>
      <c r="S15" s="775"/>
      <c r="T15" s="774"/>
      <c r="U15" s="775"/>
      <c r="V15" s="774"/>
      <c r="W15" s="775"/>
      <c r="X15" s="1812"/>
      <c r="Y15" s="3361"/>
      <c r="Z15" s="1813"/>
      <c r="AA15" s="1810">
        <v>1</v>
      </c>
      <c r="AB15" s="1810">
        <v>1</v>
      </c>
      <c r="AC15" s="1810">
        <v>1</v>
      </c>
    </row>
    <row r="16" spans="1:29" ht="15">
      <c r="A16" s="428"/>
      <c r="B16" s="451" t="s">
        <v>2673</v>
      </c>
      <c r="C16" s="260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61"/>
      <c r="Q16" s="1809" t="str">
        <f>B16</f>
        <v>公共配套设施</v>
      </c>
      <c r="R16" s="774" t="s">
        <v>17</v>
      </c>
      <c r="S16" s="775">
        <f>F16</f>
        <v>100</v>
      </c>
      <c r="T16" s="774" t="s">
        <v>17</v>
      </c>
      <c r="U16" s="775">
        <f>H16</f>
        <v>100</v>
      </c>
      <c r="V16" s="774" t="s">
        <v>17</v>
      </c>
      <c r="W16" s="775">
        <f>J16</f>
        <v>100</v>
      </c>
      <c r="X16" s="1812"/>
      <c r="Y16" s="3361"/>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361"/>
      <c r="Q17" s="1809"/>
      <c r="R17" s="774"/>
      <c r="S17" s="775"/>
      <c r="T17" s="774"/>
      <c r="U17" s="775"/>
      <c r="V17" s="774"/>
      <c r="W17" s="775"/>
      <c r="X17" s="1812"/>
      <c r="Y17" s="3361"/>
      <c r="Z17" s="1813"/>
      <c r="AA17" s="1810">
        <v>1</v>
      </c>
      <c r="AB17" s="1810">
        <v>1</v>
      </c>
      <c r="AC17" s="1810">
        <v>1</v>
      </c>
    </row>
    <row r="18" spans="1:29" ht="15">
      <c r="A18" s="428"/>
      <c r="B18" s="1384" t="s">
        <v>2674</v>
      </c>
      <c r="C18" s="2603"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61"/>
      <c r="Q18" s="1809" t="str">
        <f>B18</f>
        <v>基础设施水平</v>
      </c>
      <c r="R18" s="774" t="s">
        <v>17</v>
      </c>
      <c r="S18" s="775">
        <f>F18</f>
        <v>100</v>
      </c>
      <c r="T18" s="774" t="s">
        <v>17</v>
      </c>
      <c r="U18" s="775">
        <f>H18</f>
        <v>100</v>
      </c>
      <c r="V18" s="774" t="s">
        <v>17</v>
      </c>
      <c r="W18" s="775">
        <f>J18</f>
        <v>100</v>
      </c>
      <c r="X18" s="1812"/>
      <c r="Y18" s="3361"/>
      <c r="Z18" s="1813" t="str">
        <f>Q18</f>
        <v>基础设施水平</v>
      </c>
      <c r="AA18" s="1810">
        <f t="shared" ref="AA18" si="8">D18/F18</f>
        <v>1</v>
      </c>
      <c r="AB18" s="1810">
        <f t="shared" ref="AB18" si="9">D18/H18</f>
        <v>1</v>
      </c>
      <c r="AC18" s="1810">
        <f t="shared" ref="AC18" si="10">D18/J18</f>
        <v>1</v>
      </c>
    </row>
    <row r="19" spans="1:29" ht="15">
      <c r="A19" s="428"/>
      <c r="B19" s="1384"/>
      <c r="C19" s="2604"/>
      <c r="D19" s="450"/>
      <c r="E19" s="2604"/>
      <c r="F19" s="453"/>
      <c r="G19" s="2604"/>
      <c r="H19" s="448"/>
      <c r="I19" s="447"/>
      <c r="J19" s="448"/>
      <c r="K19" s="1383"/>
      <c r="L19" s="1140"/>
      <c r="M19" s="1131"/>
      <c r="N19" s="1131"/>
      <c r="O19" s="1139"/>
      <c r="P19" s="3361"/>
      <c r="Q19" s="1809"/>
      <c r="R19" s="774"/>
      <c r="S19" s="775"/>
      <c r="T19" s="774"/>
      <c r="U19" s="775"/>
      <c r="V19" s="774"/>
      <c r="W19" s="775"/>
      <c r="X19" s="1812"/>
      <c r="Y19" s="3361"/>
      <c r="Z19" s="1813"/>
      <c r="AA19" s="1810">
        <v>1</v>
      </c>
      <c r="AB19" s="1810">
        <v>1</v>
      </c>
      <c r="AC19" s="1810">
        <v>1</v>
      </c>
    </row>
    <row r="20" spans="1:29" ht="15">
      <c r="A20" s="428"/>
      <c r="B20" s="451" t="s">
        <v>2695</v>
      </c>
      <c r="C20" s="2603"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61"/>
      <c r="Q20" s="1809" t="str">
        <f>B20</f>
        <v>自然及人文环境</v>
      </c>
      <c r="R20" s="774" t="s">
        <v>17</v>
      </c>
      <c r="S20" s="775">
        <f>F20</f>
        <v>100</v>
      </c>
      <c r="T20" s="774" t="s">
        <v>17</v>
      </c>
      <c r="U20" s="775">
        <f>H20</f>
        <v>100</v>
      </c>
      <c r="V20" s="774" t="s">
        <v>17</v>
      </c>
      <c r="W20" s="775">
        <f>J20</f>
        <v>100</v>
      </c>
      <c r="X20" s="1812"/>
      <c r="Y20" s="336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361"/>
      <c r="Q21" s="1809"/>
      <c r="R21" s="774"/>
      <c r="S21" s="775"/>
      <c r="T21" s="774"/>
      <c r="U21" s="775"/>
      <c r="V21" s="774"/>
      <c r="W21" s="775"/>
      <c r="X21" s="1812"/>
      <c r="Y21" s="3361"/>
      <c r="Z21" s="1813"/>
      <c r="AA21" s="1810">
        <v>1</v>
      </c>
      <c r="AB21" s="1810">
        <v>1</v>
      </c>
      <c r="AC21" s="1810">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61"/>
      <c r="Q22" s="1809" t="str">
        <f>B22</f>
        <v>楼层</v>
      </c>
      <c r="R22" s="774" t="s">
        <v>17</v>
      </c>
      <c r="S22" s="775">
        <f>F22</f>
        <v>100</v>
      </c>
      <c r="T22" s="774" t="s">
        <v>17</v>
      </c>
      <c r="U22" s="775">
        <f>H22</f>
        <v>100</v>
      </c>
      <c r="V22" s="774" t="s">
        <v>17</v>
      </c>
      <c r="W22" s="775">
        <f>J22</f>
        <v>100</v>
      </c>
      <c r="X22" s="1812"/>
      <c r="Y22" s="3361"/>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61"/>
      <c r="Q23" s="1809">
        <f>B23</f>
        <v>111</v>
      </c>
      <c r="R23" s="774" t="s">
        <v>17</v>
      </c>
      <c r="S23" s="775">
        <f>F23</f>
        <v>100</v>
      </c>
      <c r="T23" s="774" t="s">
        <v>17</v>
      </c>
      <c r="U23" s="775">
        <f>H23</f>
        <v>100</v>
      </c>
      <c r="V23" s="774" t="s">
        <v>17</v>
      </c>
      <c r="W23" s="775">
        <f>J23</f>
        <v>100</v>
      </c>
      <c r="X23" s="1812"/>
      <c r="Y23" s="3361"/>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61"/>
      <c r="Q24" s="1809">
        <f t="shared" ref="Q24:Q34" si="11">B24</f>
        <v>111</v>
      </c>
      <c r="R24" s="774" t="s">
        <v>17</v>
      </c>
      <c r="S24" s="775">
        <f>F24</f>
        <v>100</v>
      </c>
      <c r="T24" s="774" t="s">
        <v>17</v>
      </c>
      <c r="U24" s="775">
        <f>H24</f>
        <v>100</v>
      </c>
      <c r="V24" s="774" t="s">
        <v>17</v>
      </c>
      <c r="W24" s="775">
        <f>J24</f>
        <v>100</v>
      </c>
      <c r="X24" s="1812"/>
      <c r="Y24" s="3361"/>
      <c r="Z24" s="1813">
        <f>Q24</f>
        <v>111</v>
      </c>
      <c r="AA24" s="1810">
        <f t="shared" si="3"/>
        <v>1</v>
      </c>
      <c r="AB24" s="1810">
        <f t="shared" si="4"/>
        <v>1</v>
      </c>
      <c r="AC24" s="1810">
        <f t="shared" si="5"/>
        <v>1</v>
      </c>
    </row>
    <row r="25" spans="1:29" s="117" customFormat="1" ht="15.75" thickBot="1">
      <c r="A25" s="431"/>
      <c r="B25" s="2596">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361"/>
      <c r="Q25" s="1794">
        <f t="shared" si="11"/>
        <v>111</v>
      </c>
      <c r="R25" s="770" t="s">
        <v>17</v>
      </c>
      <c r="S25" s="771">
        <f>F25</f>
        <v>100</v>
      </c>
      <c r="T25" s="770" t="s">
        <v>17</v>
      </c>
      <c r="U25" s="771">
        <f>H25</f>
        <v>100</v>
      </c>
      <c r="V25" s="770" t="s">
        <v>17</v>
      </c>
      <c r="W25" s="771">
        <f>J25</f>
        <v>100</v>
      </c>
      <c r="X25" s="772"/>
      <c r="Y25" s="3361"/>
      <c r="Z25" s="55">
        <f>Q25</f>
        <v>111</v>
      </c>
      <c r="AA25" s="1810">
        <f>D25/F25</f>
        <v>1</v>
      </c>
      <c r="AB25" s="1810">
        <f>D25/H25</f>
        <v>1</v>
      </c>
      <c r="AC25" s="1810">
        <f>D25/J25</f>
        <v>1</v>
      </c>
    </row>
    <row r="26" spans="1:29" ht="28.5">
      <c r="A26" s="466" t="s">
        <v>2549</v>
      </c>
      <c r="B26" s="71" t="s">
        <v>2699</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362" t="s">
        <v>2551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363" t="s">
        <v>2551</v>
      </c>
      <c r="Z26" s="1813" t="str">
        <f t="shared" ref="Z26:Z34" si="15">Q26</f>
        <v>公共部分装修</v>
      </c>
      <c r="AA26" s="1810">
        <f t="shared" si="3"/>
        <v>1</v>
      </c>
      <c r="AB26" s="1810">
        <f t="shared" si="4"/>
        <v>1</v>
      </c>
      <c r="AC26" s="1810">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63"/>
      <c r="Q27" s="776" t="str">
        <f t="shared" si="11"/>
        <v>成新率</v>
      </c>
      <c r="R27" s="777" t="s">
        <v>17</v>
      </c>
      <c r="S27" s="778" t="e">
        <f t="shared" si="12"/>
        <v>#N/A</v>
      </c>
      <c r="T27" s="777" t="s">
        <v>17</v>
      </c>
      <c r="U27" s="778" t="e">
        <f t="shared" si="13"/>
        <v>#N/A</v>
      </c>
      <c r="V27" s="777" t="s">
        <v>17</v>
      </c>
      <c r="W27" s="778" t="e">
        <f t="shared" si="14"/>
        <v>#N/A</v>
      </c>
      <c r="X27" s="779"/>
      <c r="Y27" s="3363"/>
      <c r="Z27" s="780" t="str">
        <f t="shared" si="15"/>
        <v>成新率</v>
      </c>
      <c r="AA27" s="1810" t="e">
        <f t="shared" si="3"/>
        <v>#N/A</v>
      </c>
      <c r="AB27" s="1810" t="e">
        <f t="shared" si="4"/>
        <v>#N/A</v>
      </c>
      <c r="AC27" s="1810"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63"/>
      <c r="Q28" s="1809" t="str">
        <f t="shared" si="11"/>
        <v>物业等级</v>
      </c>
      <c r="R28" s="774" t="s">
        <v>17</v>
      </c>
      <c r="S28" s="775">
        <f t="shared" si="12"/>
        <v>100</v>
      </c>
      <c r="T28" s="774" t="s">
        <v>17</v>
      </c>
      <c r="U28" s="775">
        <f t="shared" si="13"/>
        <v>100</v>
      </c>
      <c r="V28" s="774" t="s">
        <v>17</v>
      </c>
      <c r="W28" s="775">
        <f t="shared" si="14"/>
        <v>100</v>
      </c>
      <c r="X28" s="1812"/>
      <c r="Y28" s="3363"/>
      <c r="Z28" s="1813" t="str">
        <f t="shared" si="15"/>
        <v>物业等级</v>
      </c>
      <c r="AA28" s="1810">
        <f t="shared" si="3"/>
        <v>1</v>
      </c>
      <c r="AB28" s="1810">
        <f t="shared" si="4"/>
        <v>1</v>
      </c>
      <c r="AC28" s="1810">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63"/>
      <c r="Q29" s="1809" t="str">
        <f t="shared" si="11"/>
        <v>有无电梯</v>
      </c>
      <c r="R29" s="774" t="s">
        <v>17</v>
      </c>
      <c r="S29" s="775">
        <f t="shared" si="12"/>
        <v>100</v>
      </c>
      <c r="T29" s="774" t="s">
        <v>17</v>
      </c>
      <c r="U29" s="775">
        <f t="shared" si="13"/>
        <v>100</v>
      </c>
      <c r="V29" s="774" t="s">
        <v>17</v>
      </c>
      <c r="W29" s="775">
        <f t="shared" si="14"/>
        <v>100</v>
      </c>
      <c r="X29" s="1812"/>
      <c r="Y29" s="3363"/>
      <c r="Z29" s="1813" t="str">
        <f t="shared" si="15"/>
        <v>有无电梯</v>
      </c>
      <c r="AA29" s="1810">
        <f t="shared" si="3"/>
        <v>1</v>
      </c>
      <c r="AB29" s="1810">
        <f t="shared" si="4"/>
        <v>1</v>
      </c>
      <c r="AC29" s="1810">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63"/>
      <c r="Q30" s="1809" t="str">
        <f t="shared" si="11"/>
        <v>建筑面积</v>
      </c>
      <c r="R30" s="774" t="s">
        <v>17</v>
      </c>
      <c r="S30" s="775" t="e">
        <f t="shared" si="12"/>
        <v>#N/A</v>
      </c>
      <c r="T30" s="774" t="s">
        <v>17</v>
      </c>
      <c r="U30" s="775" t="e">
        <f t="shared" si="13"/>
        <v>#N/A</v>
      </c>
      <c r="V30" s="774" t="s">
        <v>17</v>
      </c>
      <c r="W30" s="775" t="e">
        <f t="shared" si="14"/>
        <v>#N/A</v>
      </c>
      <c r="X30" s="1812"/>
      <c r="Y30" s="3363"/>
      <c r="Z30" s="1813" t="str">
        <f t="shared" si="15"/>
        <v>建筑面积</v>
      </c>
      <c r="AA30" s="1810" t="e">
        <f t="shared" si="3"/>
        <v>#N/A</v>
      </c>
      <c r="AB30" s="1810" t="e">
        <f t="shared" si="4"/>
        <v>#N/A</v>
      </c>
      <c r="AC30" s="1810"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63"/>
      <c r="Q31" s="1794" t="str">
        <f t="shared" si="11"/>
        <v>是否封闭</v>
      </c>
      <c r="R31" s="770" t="s">
        <v>17</v>
      </c>
      <c r="S31" s="771">
        <f t="shared" si="12"/>
        <v>100</v>
      </c>
      <c r="T31" s="770" t="s">
        <v>17</v>
      </c>
      <c r="U31" s="771">
        <f t="shared" si="13"/>
        <v>100</v>
      </c>
      <c r="V31" s="770" t="s">
        <v>17</v>
      </c>
      <c r="W31" s="771">
        <f t="shared" si="14"/>
        <v>100</v>
      </c>
      <c r="X31" s="772"/>
      <c r="Y31" s="3363"/>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63" t="s">
        <v>2551</v>
      </c>
      <c r="Q32" s="1809">
        <f t="shared" si="11"/>
        <v>111</v>
      </c>
      <c r="R32" s="774" t="s">
        <v>17</v>
      </c>
      <c r="S32" s="775">
        <f t="shared" si="12"/>
        <v>100</v>
      </c>
      <c r="T32" s="774" t="s">
        <v>17</v>
      </c>
      <c r="U32" s="775">
        <f t="shared" si="13"/>
        <v>100</v>
      </c>
      <c r="V32" s="774" t="s">
        <v>17</v>
      </c>
      <c r="W32" s="775">
        <f t="shared" si="14"/>
        <v>100</v>
      </c>
      <c r="X32" s="1812"/>
      <c r="Y32" s="3363" t="s">
        <v>2551</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63"/>
      <c r="Q33" s="1809">
        <f t="shared" si="11"/>
        <v>111</v>
      </c>
      <c r="R33" s="774" t="s">
        <v>17</v>
      </c>
      <c r="S33" s="775">
        <f t="shared" si="12"/>
        <v>100</v>
      </c>
      <c r="T33" s="774" t="s">
        <v>17</v>
      </c>
      <c r="U33" s="775">
        <f t="shared" si="13"/>
        <v>100</v>
      </c>
      <c r="V33" s="774" t="s">
        <v>17</v>
      </c>
      <c r="W33" s="775">
        <f t="shared" si="14"/>
        <v>100</v>
      </c>
      <c r="X33" s="1812"/>
      <c r="Y33" s="3363"/>
      <c r="Z33" s="1813">
        <f t="shared" si="15"/>
        <v>111</v>
      </c>
      <c r="AA33" s="1810">
        <f t="shared" si="3"/>
        <v>1</v>
      </c>
      <c r="AB33" s="1810">
        <f t="shared" si="4"/>
        <v>1</v>
      </c>
      <c r="AC33" s="1810">
        <f t="shared" si="5"/>
        <v>1</v>
      </c>
    </row>
    <row r="34" spans="1:29" ht="15.75" thickBot="1">
      <c r="A34" s="478"/>
      <c r="B34" s="2598">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363"/>
      <c r="Q34" s="1809">
        <f t="shared" si="11"/>
        <v>111</v>
      </c>
      <c r="R34" s="774" t="s">
        <v>17</v>
      </c>
      <c r="S34" s="775">
        <f t="shared" si="12"/>
        <v>100</v>
      </c>
      <c r="T34" s="774" t="s">
        <v>17</v>
      </c>
      <c r="U34" s="775">
        <f t="shared" si="13"/>
        <v>100</v>
      </c>
      <c r="V34" s="774" t="s">
        <v>17</v>
      </c>
      <c r="W34" s="775">
        <f t="shared" si="14"/>
        <v>100</v>
      </c>
      <c r="X34" s="1812"/>
      <c r="Y34" s="3363"/>
      <c r="Z34" s="1813">
        <f t="shared" si="15"/>
        <v>111</v>
      </c>
      <c r="AA34" s="1810">
        <f t="shared" si="3"/>
        <v>1</v>
      </c>
      <c r="AB34" s="1810">
        <f t="shared" si="4"/>
        <v>1</v>
      </c>
      <c r="AC34" s="1810">
        <f t="shared" si="5"/>
        <v>1</v>
      </c>
    </row>
    <row r="35" spans="1:29" ht="15">
      <c r="A35" s="479" t="s">
        <v>2563</v>
      </c>
      <c r="B35" s="480"/>
      <c r="C35" s="1407" t="s">
        <v>1</v>
      </c>
      <c r="D35" s="1408"/>
      <c r="E35" s="1409"/>
      <c r="F35" s="1410"/>
      <c r="G35" s="1411"/>
      <c r="H35" s="1412"/>
      <c r="I35" s="1409"/>
      <c r="J35" s="1412"/>
      <c r="K35" s="783"/>
      <c r="L35" s="1143"/>
      <c r="M35" s="1144"/>
      <c r="N35" s="1131"/>
      <c r="O35" s="1144"/>
      <c r="P35" s="3345" t="str">
        <f>A35</f>
        <v>成交单价（元/平方米）</v>
      </c>
      <c r="Q35" s="3345"/>
      <c r="R35" s="3405">
        <f>E35</f>
        <v>0</v>
      </c>
      <c r="S35" s="3405"/>
      <c r="T35" s="3405">
        <f>G35</f>
        <v>0</v>
      </c>
      <c r="U35" s="3405"/>
      <c r="V35" s="3405">
        <f>I35</f>
        <v>0</v>
      </c>
      <c r="W35" s="3405"/>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345" t="str">
        <f>A36</f>
        <v>比较价值（元/平方米）</v>
      </c>
      <c r="Q36" s="3345"/>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365" t="str">
        <f>A37</f>
        <v>估价对象XX用房的比较价值（楼面单价，元/平方米）</v>
      </c>
      <c r="Q37" s="3366"/>
      <c r="R37" s="3404" t="e">
        <f>IF(F1="售价",ROUND(AVERAGE(R36:V36),0),ROUND(AVERAGE(R36:V36),1))</f>
        <v>#DIV/0!</v>
      </c>
      <c r="S37" s="3404"/>
      <c r="T37" s="3404"/>
      <c r="U37" s="3404"/>
      <c r="V37" s="3404"/>
      <c r="W37" s="340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5" zoomScale="90" zoomScaleNormal="90" workbookViewId="0">
      <selection activeCell="E48" sqref="E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2515</v>
      </c>
      <c r="C1" s="1633" t="s">
        <v>2516</v>
      </c>
      <c r="D1" s="1620" t="s">
        <v>3762</v>
      </c>
      <c r="E1" s="2579"/>
      <c r="F1" s="2580" t="s">
        <v>2517</v>
      </c>
      <c r="G1" s="1630" t="s">
        <v>2518</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1389</v>
      </c>
      <c r="B2" s="1418">
        <f>IF(C2="——",ROUND(C49*D3/10000,0),ROUND(C49*D3/10000,0)-D2)</f>
        <v>57930</v>
      </c>
      <c r="C2" s="2582" t="s">
        <v>70</v>
      </c>
      <c r="D2" s="1365" t="e">
        <f ca="1">SUMIF(INDIRECT("'"&amp;F2&amp;"'"&amp;"!A:A"),"承租人权益价值",INDIRECT("'"&amp;F2&amp;"'"&amp;"!c:c"))</f>
        <v>#REF!</v>
      </c>
      <c r="E2" s="2583" t="s">
        <v>2519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f>IF(C2="——",C49,ROUND(B2*10000/D3,0))</f>
        <v>26913</v>
      </c>
      <c r="C3" s="400" t="s">
        <v>2520</v>
      </c>
      <c r="D3" s="399">
        <f>IF(D1="",'数据-汇总表'!E3,SUMIF('数据-汇总表'!$C19:$C33,D1,'数据-汇总表'!$E19:$E33))</f>
        <v>21524.799999999999</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2521</v>
      </c>
      <c r="B4" s="402"/>
      <c r="C4" s="3346" t="s">
        <v>2522</v>
      </c>
      <c r="D4" s="3347"/>
      <c r="E4" s="3348" t="s">
        <v>2523</v>
      </c>
      <c r="F4" s="3349"/>
      <c r="G4" s="3346" t="s">
        <v>2524</v>
      </c>
      <c r="H4" s="3347"/>
      <c r="I4" s="3346" t="s">
        <v>2525</v>
      </c>
      <c r="J4" s="3347"/>
      <c r="K4" s="2592" t="s">
        <v>2526</v>
      </c>
      <c r="L4" s="1130"/>
      <c r="M4" s="1131"/>
      <c r="N4" s="1131"/>
      <c r="O4" s="1131"/>
      <c r="P4" s="3350" t="s">
        <v>2527</v>
      </c>
      <c r="Q4" s="3351"/>
      <c r="R4" s="3333" t="s">
        <v>2523</v>
      </c>
      <c r="S4" s="3334"/>
      <c r="T4" s="3333" t="s">
        <v>2524</v>
      </c>
      <c r="U4" s="3334"/>
      <c r="V4" s="3358" t="s">
        <v>2525</v>
      </c>
      <c r="W4" s="3358"/>
      <c r="X4" s="2965"/>
      <c r="Y4" s="3333" t="s">
        <v>2527</v>
      </c>
      <c r="Z4" s="3334"/>
      <c r="AA4" s="3328" t="s">
        <v>2523</v>
      </c>
      <c r="AB4" s="3328" t="s">
        <v>2524</v>
      </c>
      <c r="AC4" s="3328" t="s">
        <v>2525</v>
      </c>
    </row>
    <row r="5" spans="1:29" ht="15">
      <c r="A5" s="404"/>
      <c r="B5" s="405"/>
      <c r="C5" s="3339" t="s">
        <v>2528</v>
      </c>
      <c r="D5" s="3340"/>
      <c r="E5" s="3402" t="s">
        <v>3823</v>
      </c>
      <c r="F5" s="3338"/>
      <c r="G5" s="3403" t="s">
        <v>3792</v>
      </c>
      <c r="H5" s="3340"/>
      <c r="I5" s="3403" t="s">
        <v>3793</v>
      </c>
      <c r="J5" s="3340"/>
      <c r="K5" s="2593"/>
      <c r="L5" s="1130"/>
      <c r="M5" s="1131"/>
      <c r="N5" s="1131"/>
      <c r="O5" s="1131"/>
      <c r="P5" s="3352"/>
      <c r="Q5" s="3353"/>
      <c r="R5" s="3335"/>
      <c r="S5" s="3336"/>
      <c r="T5" s="3335"/>
      <c r="U5" s="3336"/>
      <c r="V5" s="3358"/>
      <c r="W5" s="3358"/>
      <c r="X5" s="2965"/>
      <c r="Y5" s="3335"/>
      <c r="Z5" s="3336"/>
      <c r="AA5" s="3329"/>
      <c r="AB5" s="3329"/>
      <c r="AC5" s="3329"/>
    </row>
    <row r="6" spans="1:29" ht="15.75" thickBot="1">
      <c r="A6" s="406"/>
      <c r="B6" s="407"/>
      <c r="C6" s="3341" t="s">
        <v>2532</v>
      </c>
      <c r="D6" s="3342"/>
      <c r="E6" s="3343" t="s">
        <v>3794</v>
      </c>
      <c r="F6" s="3344"/>
      <c r="G6" s="3341" t="s">
        <v>3794</v>
      </c>
      <c r="H6" s="3342"/>
      <c r="I6" s="3341" t="s">
        <v>3794</v>
      </c>
      <c r="J6" s="3342"/>
      <c r="K6" s="2593" t="s">
        <v>2533</v>
      </c>
      <c r="L6" s="1130"/>
      <c r="M6" s="1131"/>
      <c r="N6" s="1131"/>
      <c r="O6" s="1131"/>
      <c r="P6" s="3354"/>
      <c r="Q6" s="3355"/>
      <c r="R6" s="3335"/>
      <c r="S6" s="3336"/>
      <c r="T6" s="3356"/>
      <c r="U6" s="3357"/>
      <c r="V6" s="3358"/>
      <c r="W6" s="3358"/>
      <c r="X6" s="2965"/>
      <c r="Y6" s="3356"/>
      <c r="Z6" s="3357"/>
      <c r="AA6" s="3330"/>
      <c r="AB6" s="3330"/>
      <c r="AC6" s="3330"/>
    </row>
    <row r="7" spans="1:29" s="117" customFormat="1" ht="15.75" thickBot="1">
      <c r="A7" s="408" t="s">
        <v>2534</v>
      </c>
      <c r="B7" s="409"/>
      <c r="C7" s="410">
        <f>'数据-取费表'!B2</f>
        <v>43755</v>
      </c>
      <c r="D7" s="411">
        <v>100</v>
      </c>
      <c r="E7" s="412">
        <f>C7</f>
        <v>43755</v>
      </c>
      <c r="F7" s="413">
        <f>SUMIF(58:58,YEAR(E7)&amp;"-"&amp;MONTH(E7),59:59)</f>
        <v>100</v>
      </c>
      <c r="G7" s="412">
        <f>C7</f>
        <v>43755</v>
      </c>
      <c r="H7" s="411">
        <f>SUMIF(58:58,YEAR(G7)&amp;"-"&amp;MONTH(G7),59:59)</f>
        <v>100</v>
      </c>
      <c r="I7" s="412">
        <f>C7</f>
        <v>43755</v>
      </c>
      <c r="J7" s="411">
        <f>SUMIF(58:58,YEAR(I7)&amp;"-"&amp;MONTH(I7),59:59)</f>
        <v>100</v>
      </c>
      <c r="K7" s="2594"/>
      <c r="L7" s="1132"/>
      <c r="M7" s="1133"/>
      <c r="N7" s="1133"/>
      <c r="O7" s="1133"/>
      <c r="P7" s="3331" t="s">
        <v>2535</v>
      </c>
      <c r="Q7" s="3359"/>
      <c r="R7" s="770" t="s">
        <v>20</v>
      </c>
      <c r="S7" s="771">
        <f t="shared" ref="S7:S15" si="0">F7</f>
        <v>100</v>
      </c>
      <c r="T7" s="770" t="s">
        <v>20</v>
      </c>
      <c r="U7" s="771">
        <f t="shared" ref="U7:U15" si="1">H7</f>
        <v>100</v>
      </c>
      <c r="V7" s="770" t="s">
        <v>20</v>
      </c>
      <c r="W7" s="771">
        <f t="shared" ref="W7:W15" si="2">J7</f>
        <v>100</v>
      </c>
      <c r="X7" s="772"/>
      <c r="Y7" s="3331" t="s">
        <v>2535</v>
      </c>
      <c r="Z7" s="3332"/>
      <c r="AA7" s="773">
        <f>D7/F7</f>
        <v>1</v>
      </c>
      <c r="AB7" s="773">
        <f>D7/H7</f>
        <v>1</v>
      </c>
      <c r="AC7" s="773">
        <f>D7/J7</f>
        <v>1</v>
      </c>
    </row>
    <row r="8" spans="1:29" s="117" customFormat="1" ht="15.75" thickBot="1">
      <c r="A8" s="408" t="s">
        <v>2536</v>
      </c>
      <c r="B8" s="409"/>
      <c r="C8" s="414" t="s">
        <v>2537</v>
      </c>
      <c r="D8" s="411">
        <v>100</v>
      </c>
      <c r="E8" s="2595" t="s">
        <v>3816</v>
      </c>
      <c r="F8" s="413">
        <f>SUMIF(61:61,E8,62:62)-SUMIF(61:61,C8,62:62)+100</f>
        <v>100</v>
      </c>
      <c r="G8" s="414" t="s">
        <v>3816</v>
      </c>
      <c r="H8" s="411">
        <f>SUMIF(61:61,G8,62:62)-SUMIF(61:61,C8,62:62)+100</f>
        <v>100</v>
      </c>
      <c r="I8" s="2595" t="s">
        <v>3816</v>
      </c>
      <c r="J8" s="411">
        <f>SUMIF(61:61,I8,62:62)-SUMIF(61:61,C8,62:62)+100</f>
        <v>100</v>
      </c>
      <c r="K8" s="2594"/>
      <c r="L8" s="1132"/>
      <c r="M8" s="1133"/>
      <c r="N8" s="1133"/>
      <c r="O8" s="1133"/>
      <c r="P8" s="3331" t="s">
        <v>2538</v>
      </c>
      <c r="Q8" s="3332"/>
      <c r="R8" s="770" t="s">
        <v>20</v>
      </c>
      <c r="S8" s="771">
        <f t="shared" si="0"/>
        <v>100</v>
      </c>
      <c r="T8" s="770" t="s">
        <v>20</v>
      </c>
      <c r="U8" s="771">
        <f t="shared" si="1"/>
        <v>100</v>
      </c>
      <c r="V8" s="770" t="s">
        <v>20</v>
      </c>
      <c r="W8" s="771">
        <f t="shared" si="2"/>
        <v>100</v>
      </c>
      <c r="X8" s="772"/>
      <c r="Y8" s="3331" t="s">
        <v>2538</v>
      </c>
      <c r="Z8" s="3332"/>
      <c r="AA8" s="773">
        <f t="shared" ref="AA8:AA19" si="3">D8/F8</f>
        <v>1</v>
      </c>
      <c r="AB8" s="773">
        <f t="shared" ref="AB8:AB19" si="4">D8/H8</f>
        <v>1</v>
      </c>
      <c r="AC8" s="773">
        <f t="shared" ref="AC8:AC19" si="5">D8/J8</f>
        <v>1</v>
      </c>
    </row>
    <row r="9" spans="1:29" s="117" customFormat="1">
      <c r="A9" s="415" t="s">
        <v>2539</v>
      </c>
      <c r="B9" s="71" t="s">
        <v>2540</v>
      </c>
      <c r="C9" s="3071" t="s">
        <v>3817</v>
      </c>
      <c r="D9" s="135">
        <v>100</v>
      </c>
      <c r="E9" s="417" t="s">
        <v>3059</v>
      </c>
      <c r="F9" s="418">
        <f>SUMIF(63:63,E9,64:64)-SUMIF(63:63,C9,64:64)+100</f>
        <v>100</v>
      </c>
      <c r="G9" s="419" t="s">
        <v>3059</v>
      </c>
      <c r="H9" s="135">
        <f>SUMIF(63:63,G9,64:64)-SUMIF(63:63,C9,64:64)+100</f>
        <v>100</v>
      </c>
      <c r="I9" s="419" t="s">
        <v>3059</v>
      </c>
      <c r="J9" s="135">
        <f>SUMIF(63:63,I9,64:64)-SUMIF(63:63,C9,64:64)+100</f>
        <v>100</v>
      </c>
      <c r="K9" s="2594"/>
      <c r="L9" s="1132"/>
      <c r="M9" s="1133"/>
      <c r="N9" s="1133"/>
      <c r="O9" s="1133"/>
      <c r="P9" s="3369" t="s">
        <v>2541</v>
      </c>
      <c r="Q9" s="2960" t="str">
        <f t="shared" ref="Q9:Q15" si="6">B9</f>
        <v>用途</v>
      </c>
      <c r="R9" s="770" t="s">
        <v>17</v>
      </c>
      <c r="S9" s="771">
        <f t="shared" si="0"/>
        <v>100</v>
      </c>
      <c r="T9" s="770" t="s">
        <v>17</v>
      </c>
      <c r="U9" s="771">
        <f t="shared" si="1"/>
        <v>100</v>
      </c>
      <c r="V9" s="770" t="s">
        <v>17</v>
      </c>
      <c r="W9" s="771">
        <f t="shared" si="2"/>
        <v>100</v>
      </c>
      <c r="X9" s="772"/>
      <c r="Y9" s="3147" t="s">
        <v>2542</v>
      </c>
      <c r="Z9" s="2961" t="str">
        <f t="shared" ref="Z9:Z15" si="7">Q9</f>
        <v>用途</v>
      </c>
      <c r="AA9" s="773">
        <f t="shared" si="3"/>
        <v>1</v>
      </c>
      <c r="AB9" s="773">
        <f t="shared" si="4"/>
        <v>1</v>
      </c>
      <c r="AC9" s="773">
        <f t="shared" si="5"/>
        <v>1</v>
      </c>
    </row>
    <row r="10" spans="1:29" s="427" customFormat="1" ht="27">
      <c r="A10" s="421"/>
      <c r="B10" s="2962" t="s">
        <v>2543</v>
      </c>
      <c r="C10" s="423" t="s">
        <v>3812</v>
      </c>
      <c r="D10" s="136">
        <v>100</v>
      </c>
      <c r="E10" s="424" t="s">
        <v>3812</v>
      </c>
      <c r="F10" s="425">
        <f>SUMIF(65:65,E10,66:66)-SUMIF(65:65,C10,66:66)+100</f>
        <v>100</v>
      </c>
      <c r="G10" s="423" t="s">
        <v>3812</v>
      </c>
      <c r="H10" s="136">
        <f>SUMIF(65:65,G10,66:66)-SUMIF(65:65,C10,66:66)+100</f>
        <v>100</v>
      </c>
      <c r="I10" s="423" t="s">
        <v>3812</v>
      </c>
      <c r="J10" s="136">
        <f>SUMIF(65:65,I10,66:66)-SUMIF(65:65,C10,66:66)+100</f>
        <v>100</v>
      </c>
      <c r="K10" s="426">
        <v>2</v>
      </c>
      <c r="L10" s="1135"/>
      <c r="M10" s="1136"/>
      <c r="N10" s="1136"/>
      <c r="O10" s="1136"/>
      <c r="P10" s="3369"/>
      <c r="Q10" s="2960" t="str">
        <f t="shared" si="6"/>
        <v>土地使用年限（年）</v>
      </c>
      <c r="R10" s="770" t="s">
        <v>17</v>
      </c>
      <c r="S10" s="771">
        <f t="shared" si="0"/>
        <v>100</v>
      </c>
      <c r="T10" s="770" t="s">
        <v>17</v>
      </c>
      <c r="U10" s="771">
        <f t="shared" si="1"/>
        <v>100</v>
      </c>
      <c r="V10" s="770" t="s">
        <v>17</v>
      </c>
      <c r="W10" s="771">
        <f t="shared" si="2"/>
        <v>100</v>
      </c>
      <c r="X10" s="772"/>
      <c r="Y10" s="3147"/>
      <c r="Z10" s="2961" t="str">
        <f t="shared" si="7"/>
        <v>土地使用年限（年）</v>
      </c>
      <c r="AA10" s="773">
        <f t="shared" si="3"/>
        <v>1</v>
      </c>
      <c r="AB10" s="773">
        <f t="shared" si="4"/>
        <v>1</v>
      </c>
      <c r="AC10" s="773">
        <f t="shared" si="5"/>
        <v>1</v>
      </c>
    </row>
    <row r="11" spans="1:29" ht="15.75" thickBot="1">
      <c r="A11" s="428"/>
      <c r="B11" s="2962" t="s">
        <v>2544</v>
      </c>
      <c r="C11" s="429">
        <v>2</v>
      </c>
      <c r="D11" s="136">
        <v>100</v>
      </c>
      <c r="E11" s="430">
        <v>1.95</v>
      </c>
      <c r="F11" s="425">
        <f>LOOKUP(E11,68:68,69:69)-LOOKUP(C11,68:68,69:69)+100</f>
        <v>102</v>
      </c>
      <c r="G11" s="429">
        <v>2</v>
      </c>
      <c r="H11" s="136">
        <f>LOOKUP(G11,68:68,69:69)-LOOKUP(C11,68:68,69:69)+100</f>
        <v>100</v>
      </c>
      <c r="I11" s="429">
        <v>1.6</v>
      </c>
      <c r="J11" s="136">
        <f>LOOKUP(I11,68:68,69:69)-LOOKUP(C11,68:68,69:69)+100</f>
        <v>102</v>
      </c>
      <c r="K11" s="426">
        <v>2</v>
      </c>
      <c r="L11" s="1138"/>
      <c r="M11" s="1131"/>
      <c r="N11" s="1131"/>
      <c r="O11" s="1131"/>
      <c r="P11" s="3369"/>
      <c r="Q11" s="2960" t="str">
        <f t="shared" si="6"/>
        <v>容积率</v>
      </c>
      <c r="R11" s="770" t="s">
        <v>17</v>
      </c>
      <c r="S11" s="771">
        <f t="shared" si="0"/>
        <v>102</v>
      </c>
      <c r="T11" s="770" t="s">
        <v>17</v>
      </c>
      <c r="U11" s="771">
        <f t="shared" si="1"/>
        <v>100</v>
      </c>
      <c r="V11" s="770" t="s">
        <v>17</v>
      </c>
      <c r="W11" s="771">
        <f t="shared" si="2"/>
        <v>102</v>
      </c>
      <c r="X11" s="772"/>
      <c r="Y11" s="3147"/>
      <c r="Z11" s="2961" t="str">
        <f t="shared" si="7"/>
        <v>容积率</v>
      </c>
      <c r="AA11" s="773">
        <f t="shared" si="3"/>
        <v>0.98039215686274506</v>
      </c>
      <c r="AB11" s="773">
        <f t="shared" si="4"/>
        <v>1</v>
      </c>
      <c r="AC11" s="773">
        <f t="shared" si="5"/>
        <v>0.98039215686274506</v>
      </c>
    </row>
    <row r="12" spans="1:29" s="117" customFormat="1" ht="15.75" hidden="1" thickBot="1">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369"/>
      <c r="Q12" s="2960">
        <f t="shared" si="6"/>
        <v>111</v>
      </c>
      <c r="R12" s="770" t="s">
        <v>17</v>
      </c>
      <c r="S12" s="771">
        <f t="shared" si="0"/>
        <v>100</v>
      </c>
      <c r="T12" s="770" t="s">
        <v>17</v>
      </c>
      <c r="U12" s="771">
        <f t="shared" si="1"/>
        <v>100</v>
      </c>
      <c r="V12" s="770" t="s">
        <v>17</v>
      </c>
      <c r="W12" s="771">
        <f t="shared" si="2"/>
        <v>100</v>
      </c>
      <c r="X12" s="772"/>
      <c r="Y12" s="3147"/>
      <c r="Z12" s="2961">
        <f t="shared" si="7"/>
        <v>111</v>
      </c>
      <c r="AA12" s="773">
        <f>D12/F12</f>
        <v>1</v>
      </c>
      <c r="AB12" s="773">
        <f>D12/H12</f>
        <v>1</v>
      </c>
      <c r="AC12" s="773">
        <f>D12/J12</f>
        <v>1</v>
      </c>
    </row>
    <row r="13" spans="1:29" ht="15.75" hidden="1" thickBot="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369"/>
      <c r="Q13" s="2960">
        <f t="shared" si="6"/>
        <v>111</v>
      </c>
      <c r="R13" s="770" t="s">
        <v>17</v>
      </c>
      <c r="S13" s="771">
        <f t="shared" si="0"/>
        <v>100</v>
      </c>
      <c r="T13" s="770" t="s">
        <v>17</v>
      </c>
      <c r="U13" s="771">
        <f t="shared" si="1"/>
        <v>100</v>
      </c>
      <c r="V13" s="770" t="s">
        <v>17</v>
      </c>
      <c r="W13" s="771">
        <f t="shared" si="2"/>
        <v>100</v>
      </c>
      <c r="X13" s="772"/>
      <c r="Y13" s="3147"/>
      <c r="Z13" s="2961">
        <f t="shared" si="7"/>
        <v>111</v>
      </c>
      <c r="AA13" s="773">
        <f t="shared" si="3"/>
        <v>1</v>
      </c>
      <c r="AB13" s="773">
        <f t="shared" si="4"/>
        <v>1</v>
      </c>
      <c r="AC13" s="773">
        <f t="shared" si="5"/>
        <v>1</v>
      </c>
    </row>
    <row r="14" spans="1:29" ht="15.75" hidden="1"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369"/>
      <c r="Q14" s="2960">
        <f t="shared" si="6"/>
        <v>111</v>
      </c>
      <c r="R14" s="770" t="s">
        <v>17</v>
      </c>
      <c r="S14" s="771">
        <f t="shared" si="0"/>
        <v>100</v>
      </c>
      <c r="T14" s="770" t="s">
        <v>17</v>
      </c>
      <c r="U14" s="771">
        <f t="shared" si="1"/>
        <v>100</v>
      </c>
      <c r="V14" s="770" t="s">
        <v>17</v>
      </c>
      <c r="W14" s="771">
        <f t="shared" si="2"/>
        <v>100</v>
      </c>
      <c r="X14" s="772"/>
      <c r="Y14" s="3147"/>
      <c r="Z14" s="2961">
        <f t="shared" si="7"/>
        <v>111</v>
      </c>
      <c r="AA14" s="773">
        <f t="shared" si="3"/>
        <v>1</v>
      </c>
      <c r="AB14" s="773">
        <f t="shared" si="4"/>
        <v>1</v>
      </c>
      <c r="AC14" s="773">
        <f t="shared" si="5"/>
        <v>1</v>
      </c>
    </row>
    <row r="15" spans="1:29" ht="15">
      <c r="A15" s="440" t="s">
        <v>2545</v>
      </c>
      <c r="B15" s="69" t="s">
        <v>2082</v>
      </c>
      <c r="C15" s="2599" t="str">
        <f>估价对象房地状况!C3</f>
        <v>较好</v>
      </c>
      <c r="D15" s="441">
        <v>100</v>
      </c>
      <c r="E15" s="444"/>
      <c r="F15" s="441">
        <f>SUMIF(76:76,E16,77:77)-SUMIF(76:76,C16,77:77)+100</f>
        <v>95</v>
      </c>
      <c r="G15" s="442"/>
      <c r="H15" s="441">
        <f>SUMIF(76:76,G16,77:77)-SUMIF(76:76,C16,77:77)+100</f>
        <v>95</v>
      </c>
      <c r="I15" s="442"/>
      <c r="J15" s="441">
        <f>SUMIF(76:76,I16,77:77)-SUMIF(76:76,C16,77:77)+100</f>
        <v>95</v>
      </c>
      <c r="K15" s="445">
        <v>5</v>
      </c>
      <c r="L15" s="1140"/>
      <c r="M15" s="1131"/>
      <c r="N15" s="1131"/>
      <c r="O15" s="1131"/>
      <c r="P15" s="3410" t="s">
        <v>2546</v>
      </c>
      <c r="Q15" s="2963" t="str">
        <f t="shared" si="6"/>
        <v>居住社区成熟度</v>
      </c>
      <c r="R15" s="774" t="s">
        <v>17</v>
      </c>
      <c r="S15" s="775">
        <f t="shared" si="0"/>
        <v>95</v>
      </c>
      <c r="T15" s="774" t="s">
        <v>17</v>
      </c>
      <c r="U15" s="775">
        <f t="shared" si="1"/>
        <v>95</v>
      </c>
      <c r="V15" s="774" t="s">
        <v>17</v>
      </c>
      <c r="W15" s="775">
        <f t="shared" si="2"/>
        <v>95</v>
      </c>
      <c r="X15" s="2965"/>
      <c r="Y15" s="3360" t="s">
        <v>2546</v>
      </c>
      <c r="Z15" s="2966" t="str">
        <f t="shared" si="7"/>
        <v>居住社区成熟度</v>
      </c>
      <c r="AA15" s="2964">
        <f t="shared" si="3"/>
        <v>1.0526315789473684</v>
      </c>
      <c r="AB15" s="2964">
        <f t="shared" si="4"/>
        <v>1.0526315789473684</v>
      </c>
      <c r="AC15" s="2964">
        <f t="shared" si="5"/>
        <v>1.0526315789473684</v>
      </c>
    </row>
    <row r="16" spans="1:29" ht="15">
      <c r="A16" s="428"/>
      <c r="B16" s="446"/>
      <c r="C16" s="447" t="s">
        <v>3300</v>
      </c>
      <c r="D16" s="448"/>
      <c r="E16" s="2600" t="s">
        <v>3778</v>
      </c>
      <c r="F16" s="448"/>
      <c r="G16" s="2601" t="s">
        <v>3778</v>
      </c>
      <c r="H16" s="450"/>
      <c r="I16" s="2601" t="s">
        <v>3778</v>
      </c>
      <c r="J16" s="448"/>
      <c r="K16" s="2602"/>
      <c r="L16" s="1140"/>
      <c r="M16" s="1131"/>
      <c r="N16" s="1131"/>
      <c r="O16" s="1131"/>
      <c r="P16" s="3411"/>
      <c r="Q16" s="2963"/>
      <c r="R16" s="774"/>
      <c r="S16" s="775"/>
      <c r="T16" s="774"/>
      <c r="U16" s="775"/>
      <c r="V16" s="774"/>
      <c r="W16" s="775"/>
      <c r="X16" s="2965"/>
      <c r="Y16" s="3361"/>
      <c r="Z16" s="2966"/>
      <c r="AA16" s="2964">
        <v>1</v>
      </c>
      <c r="AB16" s="2964">
        <v>1</v>
      </c>
      <c r="AC16" s="2964">
        <v>1</v>
      </c>
    </row>
    <row r="17" spans="1:29" ht="15">
      <c r="A17" s="428"/>
      <c r="B17" s="451" t="s">
        <v>2088</v>
      </c>
      <c r="C17" s="2603" t="str">
        <f>估价对象房地状况!C6</f>
        <v>较好</v>
      </c>
      <c r="D17" s="450">
        <v>100</v>
      </c>
      <c r="E17" s="454"/>
      <c r="F17" s="450">
        <f>SUMIF(78:78,E18,79:79)-SUMIF(78:78,C18,79:79)+100</f>
        <v>100</v>
      </c>
      <c r="G17" s="452"/>
      <c r="H17" s="455">
        <f>SUMIF(78:78,G18,79:79)-SUMIF(78:78,C18,79:79)+100</f>
        <v>97</v>
      </c>
      <c r="I17" s="452"/>
      <c r="J17" s="455">
        <f>SUMIF(78:78,I18,79:79)-SUMIF(78:78,C18,79:79)+100</f>
        <v>100</v>
      </c>
      <c r="K17" s="445">
        <v>3</v>
      </c>
      <c r="L17" s="1140"/>
      <c r="M17" s="1131"/>
      <c r="N17" s="1131"/>
      <c r="O17" s="1131"/>
      <c r="P17" s="3411"/>
      <c r="Q17" s="2963" t="str">
        <f>B17</f>
        <v>交通便捷度</v>
      </c>
      <c r="R17" s="774" t="s">
        <v>17</v>
      </c>
      <c r="S17" s="775">
        <f>F17</f>
        <v>100</v>
      </c>
      <c r="T17" s="774" t="s">
        <v>17</v>
      </c>
      <c r="U17" s="775">
        <f>H17</f>
        <v>97</v>
      </c>
      <c r="V17" s="774" t="s">
        <v>17</v>
      </c>
      <c r="W17" s="775">
        <f>J17</f>
        <v>100</v>
      </c>
      <c r="X17" s="2965"/>
      <c r="Y17" s="3361"/>
      <c r="Z17" s="2966" t="str">
        <f>Q17</f>
        <v>交通便捷度</v>
      </c>
      <c r="AA17" s="2964">
        <f t="shared" si="3"/>
        <v>1</v>
      </c>
      <c r="AB17" s="2964">
        <f t="shared" si="4"/>
        <v>1.0309278350515463</v>
      </c>
      <c r="AC17" s="2964">
        <f t="shared" si="5"/>
        <v>1</v>
      </c>
    </row>
    <row r="18" spans="1:29" ht="15">
      <c r="A18" s="428"/>
      <c r="B18" s="456"/>
      <c r="C18" s="2604" t="s">
        <v>3300</v>
      </c>
      <c r="D18" s="450"/>
      <c r="E18" s="2605" t="s">
        <v>3300</v>
      </c>
      <c r="F18" s="450"/>
      <c r="G18" s="2606" t="s">
        <v>3778</v>
      </c>
      <c r="H18" s="448"/>
      <c r="I18" s="2606" t="s">
        <v>3300</v>
      </c>
      <c r="J18" s="448"/>
      <c r="K18" s="2602"/>
      <c r="L18" s="1140"/>
      <c r="M18" s="1131"/>
      <c r="N18" s="1131"/>
      <c r="O18" s="1131"/>
      <c r="P18" s="3411"/>
      <c r="Q18" s="2963"/>
      <c r="R18" s="774"/>
      <c r="S18" s="775"/>
      <c r="T18" s="774"/>
      <c r="U18" s="775"/>
      <c r="V18" s="774"/>
      <c r="W18" s="775"/>
      <c r="X18" s="2965"/>
      <c r="Y18" s="3361"/>
      <c r="Z18" s="2966"/>
      <c r="AA18" s="2964">
        <v>1</v>
      </c>
      <c r="AB18" s="2964">
        <v>1</v>
      </c>
      <c r="AC18" s="2964">
        <v>1</v>
      </c>
    </row>
    <row r="19" spans="1:29" ht="15">
      <c r="A19" s="428"/>
      <c r="B19" s="451" t="s">
        <v>2087</v>
      </c>
      <c r="C19" s="2603" t="str">
        <f>估价对象房地状况!C7</f>
        <v>较好</v>
      </c>
      <c r="D19" s="455">
        <v>100</v>
      </c>
      <c r="E19" s="459"/>
      <c r="F19" s="455">
        <f>SUMIF(80:80,E20,81:81)-SUMIF(80:80,C20,81:81)+100</f>
        <v>98</v>
      </c>
      <c r="G19" s="457"/>
      <c r="H19" s="450">
        <f>SUMIF(80:80,G20,81:81)-SUMIF(80:80,C20,81:81)+100</f>
        <v>98</v>
      </c>
      <c r="I19" s="457"/>
      <c r="J19" s="450">
        <f>SUMIF(80:80,I20,81:81)-SUMIF(80:80,C20,81:81)+100</f>
        <v>100</v>
      </c>
      <c r="K19" s="445">
        <v>2</v>
      </c>
      <c r="L19" s="1140"/>
      <c r="M19" s="1131"/>
      <c r="N19" s="1131"/>
      <c r="O19" s="1131"/>
      <c r="P19" s="3411"/>
      <c r="Q19" s="2963" t="str">
        <f>B19</f>
        <v>公共配套设施</v>
      </c>
      <c r="R19" s="774" t="s">
        <v>17</v>
      </c>
      <c r="S19" s="775">
        <f>F19</f>
        <v>98</v>
      </c>
      <c r="T19" s="774" t="s">
        <v>17</v>
      </c>
      <c r="U19" s="775">
        <f>H19</f>
        <v>98</v>
      </c>
      <c r="V19" s="774" t="s">
        <v>17</v>
      </c>
      <c r="W19" s="775">
        <f>J19</f>
        <v>100</v>
      </c>
      <c r="X19" s="2965"/>
      <c r="Y19" s="3361"/>
      <c r="Z19" s="2966" t="str">
        <f>Q19</f>
        <v>公共配套设施</v>
      </c>
      <c r="AA19" s="2964">
        <f t="shared" si="3"/>
        <v>1.0204081632653061</v>
      </c>
      <c r="AB19" s="2964">
        <f t="shared" si="4"/>
        <v>1.0204081632653061</v>
      </c>
      <c r="AC19" s="2964">
        <f t="shared" si="5"/>
        <v>1</v>
      </c>
    </row>
    <row r="20" spans="1:29" ht="15">
      <c r="A20" s="428"/>
      <c r="B20" s="456"/>
      <c r="C20" s="447" t="s">
        <v>3300</v>
      </c>
      <c r="D20" s="448"/>
      <c r="E20" s="2600" t="s">
        <v>3778</v>
      </c>
      <c r="F20" s="448"/>
      <c r="G20" s="2601" t="s">
        <v>3778</v>
      </c>
      <c r="H20" s="448"/>
      <c r="I20" s="2601" t="s">
        <v>3300</v>
      </c>
      <c r="J20" s="448"/>
      <c r="K20" s="2602"/>
      <c r="L20" s="1140"/>
      <c r="M20" s="1131"/>
      <c r="N20" s="1131"/>
      <c r="O20" s="1131"/>
      <c r="P20" s="3411"/>
      <c r="Q20" s="2963"/>
      <c r="R20" s="774"/>
      <c r="S20" s="775"/>
      <c r="T20" s="774"/>
      <c r="U20" s="775"/>
      <c r="V20" s="774"/>
      <c r="W20" s="775"/>
      <c r="X20" s="2965"/>
      <c r="Y20" s="3361"/>
      <c r="Z20" s="2966"/>
      <c r="AA20" s="2964">
        <v>1</v>
      </c>
      <c r="AB20" s="2964">
        <v>1</v>
      </c>
      <c r="AC20" s="2964">
        <v>1</v>
      </c>
    </row>
    <row r="21" spans="1:29" ht="15">
      <c r="A21" s="428"/>
      <c r="B21" s="1384" t="s">
        <v>2089</v>
      </c>
      <c r="C21" s="2603" t="str">
        <f>估价对象房地状况!C8</f>
        <v>七通</v>
      </c>
      <c r="D21" s="450">
        <v>100</v>
      </c>
      <c r="E21" s="459"/>
      <c r="F21" s="455">
        <f>SUMIF(82:82,E22,83:83)-SUMIF(82:82,C22,83:83)+100</f>
        <v>100</v>
      </c>
      <c r="G21" s="459"/>
      <c r="H21" s="450">
        <f>SUMIF(82:82,G22,83:83)-SUMIF(82:82,C22,83:83)+100</f>
        <v>100</v>
      </c>
      <c r="I21" s="459"/>
      <c r="J21" s="450">
        <f>SUMIF(82:82,I22,83:83)-SUMIF(82:82,C22,83:83)+100</f>
        <v>100</v>
      </c>
      <c r="K21" s="445">
        <v>1</v>
      </c>
      <c r="L21" s="1140"/>
      <c r="M21" s="1131"/>
      <c r="N21" s="1131"/>
      <c r="O21" s="1131"/>
      <c r="P21" s="3411"/>
      <c r="Q21" s="2963" t="str">
        <f>B21</f>
        <v>基础设施水平</v>
      </c>
      <c r="R21" s="774" t="s">
        <v>17</v>
      </c>
      <c r="S21" s="775">
        <f>F21</f>
        <v>100</v>
      </c>
      <c r="T21" s="774" t="s">
        <v>17</v>
      </c>
      <c r="U21" s="775">
        <f>H21</f>
        <v>100</v>
      </c>
      <c r="V21" s="774" t="s">
        <v>17</v>
      </c>
      <c r="W21" s="775">
        <f>J21</f>
        <v>100</v>
      </c>
      <c r="X21" s="2965"/>
      <c r="Y21" s="3361"/>
      <c r="Z21" s="2966" t="str">
        <f>Q21</f>
        <v>基础设施水平</v>
      </c>
      <c r="AA21" s="2964">
        <f t="shared" ref="AA21" si="8">D21/F21</f>
        <v>1</v>
      </c>
      <c r="AB21" s="2964">
        <f t="shared" ref="AB21" si="9">D21/H21</f>
        <v>1</v>
      </c>
      <c r="AC21" s="2964">
        <f t="shared" ref="AC21" si="10">D21/J21</f>
        <v>1</v>
      </c>
    </row>
    <row r="22" spans="1:29" ht="15">
      <c r="A22" s="428"/>
      <c r="B22" s="1384"/>
      <c r="C22" s="2604" t="s">
        <v>3780</v>
      </c>
      <c r="D22" s="448"/>
      <c r="E22" s="447" t="s">
        <v>3780</v>
      </c>
      <c r="F22" s="448"/>
      <c r="G22" s="447" t="s">
        <v>3780</v>
      </c>
      <c r="H22" s="448"/>
      <c r="I22" s="447" t="s">
        <v>3780</v>
      </c>
      <c r="J22" s="448"/>
      <c r="K22" s="2608"/>
      <c r="L22" s="1140"/>
      <c r="M22" s="1131"/>
      <c r="N22" s="1131"/>
      <c r="O22" s="1131"/>
      <c r="P22" s="3411"/>
      <c r="Q22" s="2963"/>
      <c r="R22" s="774"/>
      <c r="S22" s="775"/>
      <c r="T22" s="774"/>
      <c r="U22" s="775"/>
      <c r="V22" s="774"/>
      <c r="W22" s="775"/>
      <c r="X22" s="2965"/>
      <c r="Y22" s="3361"/>
      <c r="Z22" s="2966"/>
      <c r="AA22" s="2964">
        <v>1</v>
      </c>
      <c r="AB22" s="2964">
        <v>1</v>
      </c>
      <c r="AC22" s="2964">
        <v>1</v>
      </c>
    </row>
    <row r="23" spans="1:29" ht="15">
      <c r="A23" s="428"/>
      <c r="B23" s="451" t="s">
        <v>2091</v>
      </c>
      <c r="C23" s="2603" t="str">
        <f>估价对象房地状况!C9</f>
        <v>一般</v>
      </c>
      <c r="D23" s="450">
        <v>100</v>
      </c>
      <c r="E23" s="454"/>
      <c r="F23" s="450">
        <f>SUMIF(84:84,E24,85:85)-SUMIF(84:84,C24,85:85)+100</f>
        <v>100</v>
      </c>
      <c r="G23" s="454"/>
      <c r="H23" s="450">
        <f>SUMIF(84:84,G24,85:85)-SUMIF(84:84,C24,85:85)+100</f>
        <v>100</v>
      </c>
      <c r="I23" s="454"/>
      <c r="J23" s="450">
        <f>SUMIF(84:84,I24,85:85)-SUMIF(84:84,C24,85:85)+100</f>
        <v>100</v>
      </c>
      <c r="K23" s="445">
        <v>2</v>
      </c>
      <c r="L23" s="1140"/>
      <c r="M23" s="1131"/>
      <c r="N23" s="1131"/>
      <c r="O23" s="1131"/>
      <c r="P23" s="3411"/>
      <c r="Q23" s="2963" t="str">
        <f>B23</f>
        <v>自然及人文环境</v>
      </c>
      <c r="R23" s="774" t="s">
        <v>17</v>
      </c>
      <c r="S23" s="775">
        <f>F23</f>
        <v>100</v>
      </c>
      <c r="T23" s="774" t="s">
        <v>17</v>
      </c>
      <c r="U23" s="775">
        <f>H23</f>
        <v>100</v>
      </c>
      <c r="V23" s="774" t="s">
        <v>17</v>
      </c>
      <c r="W23" s="775">
        <f>J23</f>
        <v>100</v>
      </c>
      <c r="X23" s="2965"/>
      <c r="Y23" s="3361"/>
      <c r="Z23" s="2966" t="str">
        <f>Q23</f>
        <v>自然及人文环境</v>
      </c>
      <c r="AA23" s="2964">
        <f>D23/F23</f>
        <v>1</v>
      </c>
      <c r="AB23" s="2964">
        <f>D23/H23</f>
        <v>1</v>
      </c>
      <c r="AC23" s="2964">
        <f>D23/J23</f>
        <v>1</v>
      </c>
    </row>
    <row r="24" spans="1:29" ht="15">
      <c r="A24" s="428"/>
      <c r="B24" s="456"/>
      <c r="C24" s="447" t="s">
        <v>3778</v>
      </c>
      <c r="D24" s="448"/>
      <c r="E24" s="2600" t="s">
        <v>3778</v>
      </c>
      <c r="F24" s="448"/>
      <c r="G24" s="2600" t="s">
        <v>3778</v>
      </c>
      <c r="H24" s="448"/>
      <c r="I24" s="2600" t="s">
        <v>3778</v>
      </c>
      <c r="J24" s="448"/>
      <c r="K24" s="2602"/>
      <c r="L24" s="1140"/>
      <c r="M24" s="1131"/>
      <c r="N24" s="1131"/>
      <c r="O24" s="1131"/>
      <c r="P24" s="3411"/>
      <c r="Q24" s="2963"/>
      <c r="R24" s="774"/>
      <c r="S24" s="775"/>
      <c r="T24" s="774"/>
      <c r="U24" s="775"/>
      <c r="V24" s="774"/>
      <c r="W24" s="775"/>
      <c r="X24" s="2965"/>
      <c r="Y24" s="3361"/>
      <c r="Z24" s="2966"/>
      <c r="AA24" s="2964">
        <v>1</v>
      </c>
      <c r="AB24" s="2964">
        <v>1</v>
      </c>
      <c r="AC24" s="2964">
        <v>1</v>
      </c>
    </row>
    <row r="25" spans="1:29" ht="15" hidden="1">
      <c r="A25" s="428"/>
      <c r="B25" s="2962" t="s">
        <v>2547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411"/>
      <c r="Q25" s="2963" t="str">
        <f t="shared" ref="Q25:Q46" si="11">B25</f>
        <v>楼层-1</v>
      </c>
      <c r="R25" s="774" t="s">
        <v>17</v>
      </c>
      <c r="S25" s="775">
        <f t="shared" ref="S25:S46" si="12">F25</f>
        <v>100</v>
      </c>
      <c r="T25" s="774" t="s">
        <v>17</v>
      </c>
      <c r="U25" s="775">
        <f t="shared" ref="U25:U46" si="13">H25</f>
        <v>100</v>
      </c>
      <c r="V25" s="774" t="s">
        <v>17</v>
      </c>
      <c r="W25" s="775">
        <f t="shared" ref="W25:W46" si="14">J25</f>
        <v>100</v>
      </c>
      <c r="X25" s="2965"/>
      <c r="Y25" s="3361"/>
      <c r="Z25" s="2966" t="str">
        <f>Q25</f>
        <v>楼层-1</v>
      </c>
      <c r="AA25" s="2964">
        <f t="shared" ref="AA25:AA46" si="15">D25/F25</f>
        <v>1</v>
      </c>
      <c r="AB25" s="2964">
        <f t="shared" ref="AB25:AB46" si="16">D25/H25</f>
        <v>1</v>
      </c>
      <c r="AC25" s="2964">
        <f t="shared" ref="AC25:AC46" si="17">D25/J25</f>
        <v>1</v>
      </c>
    </row>
    <row r="26" spans="1:29" ht="15" hidden="1">
      <c r="A26" s="428"/>
      <c r="B26" s="2962" t="s">
        <v>2548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411"/>
      <c r="Q26" s="2963" t="str">
        <f t="shared" si="11"/>
        <v>朝向</v>
      </c>
      <c r="R26" s="774" t="s">
        <v>17</v>
      </c>
      <c r="S26" s="775">
        <f t="shared" si="12"/>
        <v>100</v>
      </c>
      <c r="T26" s="774" t="s">
        <v>17</v>
      </c>
      <c r="U26" s="775">
        <f t="shared" si="13"/>
        <v>100</v>
      </c>
      <c r="V26" s="774" t="s">
        <v>17</v>
      </c>
      <c r="W26" s="775">
        <f t="shared" si="14"/>
        <v>100</v>
      </c>
      <c r="X26" s="2965"/>
      <c r="Y26" s="3361"/>
      <c r="Z26" s="2966" t="str">
        <f>Q26</f>
        <v>朝向</v>
      </c>
      <c r="AA26" s="2964">
        <f t="shared" si="15"/>
        <v>1</v>
      </c>
      <c r="AB26" s="2964">
        <f t="shared" si="16"/>
        <v>1</v>
      </c>
      <c r="AC26" s="2964">
        <f t="shared" si="17"/>
        <v>1</v>
      </c>
    </row>
    <row r="27" spans="1:29" s="117" customFormat="1" ht="15.75" thickBot="1">
      <c r="A27" s="431"/>
      <c r="B27" s="3070" t="s">
        <v>3797</v>
      </c>
      <c r="C27" s="3066" t="s">
        <v>3798</v>
      </c>
      <c r="D27" s="462">
        <v>100</v>
      </c>
      <c r="E27" s="3067" t="s">
        <v>3814</v>
      </c>
      <c r="F27" s="462">
        <f>SUMIF(90:90,E27,91:91)-SUMIF(90:90,C27,91:91)+100</f>
        <v>102</v>
      </c>
      <c r="G27" s="3068" t="s">
        <v>3815</v>
      </c>
      <c r="H27" s="462">
        <f>SUMIF(90:90,G27,91:91)-SUMIF(90:90,C27,91:91)+100</f>
        <v>98</v>
      </c>
      <c r="I27" s="3068" t="s">
        <v>3814</v>
      </c>
      <c r="J27" s="462">
        <f>SUMIF(90:90,I27,91:91)-SUMIF(90:90,C27,91:91)+100</f>
        <v>102</v>
      </c>
      <c r="K27" s="2597"/>
      <c r="L27" s="1132"/>
      <c r="M27" s="1133"/>
      <c r="N27" s="1133"/>
      <c r="O27" s="1133"/>
      <c r="P27" s="3411"/>
      <c r="Q27" s="2960" t="str">
        <f t="shared" si="11"/>
        <v>道路级别</v>
      </c>
      <c r="R27" s="770" t="s">
        <v>17</v>
      </c>
      <c r="S27" s="771">
        <f t="shared" si="12"/>
        <v>102</v>
      </c>
      <c r="T27" s="770" t="s">
        <v>17</v>
      </c>
      <c r="U27" s="771">
        <f t="shared" si="13"/>
        <v>98</v>
      </c>
      <c r="V27" s="770" t="s">
        <v>17</v>
      </c>
      <c r="W27" s="771">
        <f t="shared" si="14"/>
        <v>102</v>
      </c>
      <c r="X27" s="772"/>
      <c r="Y27" s="3361"/>
      <c r="Z27" s="2961" t="str">
        <f>Q27</f>
        <v>道路级别</v>
      </c>
      <c r="AA27" s="2964">
        <f t="shared" si="15"/>
        <v>0.98039215686274506</v>
      </c>
      <c r="AB27" s="2964">
        <f t="shared" si="16"/>
        <v>1.0204081632653061</v>
      </c>
      <c r="AC27" s="2964">
        <f t="shared" si="17"/>
        <v>0.98039215686274506</v>
      </c>
    </row>
    <row r="28" spans="1:29" ht="15.75" hidden="1" thickBot="1">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411"/>
      <c r="Q28" s="2963">
        <f t="shared" si="11"/>
        <v>111</v>
      </c>
      <c r="R28" s="774" t="s">
        <v>17</v>
      </c>
      <c r="S28" s="775">
        <f t="shared" si="12"/>
        <v>100</v>
      </c>
      <c r="T28" s="774" t="s">
        <v>17</v>
      </c>
      <c r="U28" s="775">
        <f t="shared" si="13"/>
        <v>100</v>
      </c>
      <c r="V28" s="774" t="s">
        <v>17</v>
      </c>
      <c r="W28" s="775">
        <f t="shared" si="14"/>
        <v>100</v>
      </c>
      <c r="X28" s="2965"/>
      <c r="Y28" s="3361"/>
      <c r="Z28" s="2966">
        <f t="shared" ref="Z28:Z46" si="18">Q28</f>
        <v>111</v>
      </c>
      <c r="AA28" s="2964">
        <f t="shared" si="15"/>
        <v>1</v>
      </c>
      <c r="AB28" s="2964">
        <f t="shared" si="16"/>
        <v>1</v>
      </c>
      <c r="AC28" s="2964">
        <f t="shared" si="17"/>
        <v>1</v>
      </c>
    </row>
    <row r="29" spans="1:29" ht="15.75" hidden="1" thickBot="1">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411"/>
      <c r="Q29" s="2963">
        <f t="shared" si="11"/>
        <v>111</v>
      </c>
      <c r="R29" s="774" t="s">
        <v>17</v>
      </c>
      <c r="S29" s="775">
        <f t="shared" si="12"/>
        <v>100</v>
      </c>
      <c r="T29" s="774" t="s">
        <v>17</v>
      </c>
      <c r="U29" s="775">
        <f t="shared" si="13"/>
        <v>100</v>
      </c>
      <c r="V29" s="774" t="s">
        <v>17</v>
      </c>
      <c r="W29" s="775">
        <f t="shared" si="14"/>
        <v>100</v>
      </c>
      <c r="X29" s="2965"/>
      <c r="Y29" s="3361"/>
      <c r="Z29" s="2966">
        <f t="shared" si="18"/>
        <v>111</v>
      </c>
      <c r="AA29" s="2964">
        <f t="shared" si="15"/>
        <v>1</v>
      </c>
      <c r="AB29" s="2964">
        <f t="shared" si="16"/>
        <v>1</v>
      </c>
      <c r="AC29" s="2964">
        <f t="shared" si="17"/>
        <v>1</v>
      </c>
    </row>
    <row r="30" spans="1:29" ht="15.75" hidden="1" thickBot="1">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411"/>
      <c r="Q30" s="2963">
        <f t="shared" si="11"/>
        <v>111</v>
      </c>
      <c r="R30" s="774" t="s">
        <v>17</v>
      </c>
      <c r="S30" s="775">
        <f t="shared" si="12"/>
        <v>100</v>
      </c>
      <c r="T30" s="774" t="s">
        <v>17</v>
      </c>
      <c r="U30" s="775">
        <f t="shared" si="13"/>
        <v>100</v>
      </c>
      <c r="V30" s="774" t="s">
        <v>17</v>
      </c>
      <c r="W30" s="775">
        <f t="shared" si="14"/>
        <v>100</v>
      </c>
      <c r="X30" s="2965"/>
      <c r="Y30" s="3361"/>
      <c r="Z30" s="2966">
        <f t="shared" si="18"/>
        <v>111</v>
      </c>
      <c r="AA30" s="2964">
        <f t="shared" si="15"/>
        <v>1</v>
      </c>
      <c r="AB30" s="2964">
        <f t="shared" si="16"/>
        <v>1</v>
      </c>
      <c r="AC30" s="2964">
        <f t="shared" si="17"/>
        <v>1</v>
      </c>
    </row>
    <row r="31" spans="1:29" ht="15.75" hidden="1"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411"/>
      <c r="Q31" s="2963">
        <f t="shared" si="11"/>
        <v>111</v>
      </c>
      <c r="R31" s="774" t="s">
        <v>17</v>
      </c>
      <c r="S31" s="775">
        <f t="shared" si="12"/>
        <v>100</v>
      </c>
      <c r="T31" s="774" t="s">
        <v>17</v>
      </c>
      <c r="U31" s="775">
        <f t="shared" si="13"/>
        <v>100</v>
      </c>
      <c r="V31" s="774" t="s">
        <v>17</v>
      </c>
      <c r="W31" s="775">
        <f t="shared" si="14"/>
        <v>100</v>
      </c>
      <c r="X31" s="2965"/>
      <c r="Y31" s="3361"/>
      <c r="Z31" s="2966">
        <f t="shared" si="18"/>
        <v>111</v>
      </c>
      <c r="AA31" s="2964">
        <f t="shared" si="15"/>
        <v>1</v>
      </c>
      <c r="AB31" s="2964">
        <f t="shared" si="16"/>
        <v>1</v>
      </c>
      <c r="AC31" s="2964">
        <f t="shared" si="17"/>
        <v>1</v>
      </c>
    </row>
    <row r="32" spans="1:29" ht="15">
      <c r="A32" s="440" t="s">
        <v>2549</v>
      </c>
      <c r="B32" s="71" t="s">
        <v>2550</v>
      </c>
      <c r="C32" s="2613" t="s">
        <v>3824</v>
      </c>
      <c r="D32" s="467">
        <v>100</v>
      </c>
      <c r="E32" s="2614" t="s">
        <v>3824</v>
      </c>
      <c r="F32" s="461">
        <f>SUMIF(100:100,E32,101:101)-SUMIF(100:100,C32,101:101)+100</f>
        <v>100</v>
      </c>
      <c r="G32" s="2613" t="s">
        <v>3824</v>
      </c>
      <c r="H32" s="467">
        <f>SUMIF(100:100,G32,101:101)-SUMIF(100:100,C32,101:101)+100</f>
        <v>100</v>
      </c>
      <c r="I32" s="2614" t="s">
        <v>3824</v>
      </c>
      <c r="J32" s="435">
        <f>SUMIF(100:100,I32,101:101)-SUMIF(100:100,C32,101:101)+100</f>
        <v>100</v>
      </c>
      <c r="K32" s="426">
        <v>10</v>
      </c>
      <c r="L32" s="1140"/>
      <c r="M32" s="1131"/>
      <c r="N32" s="1131"/>
      <c r="O32" s="1131"/>
      <c r="P32" s="3406" t="s">
        <v>2551</v>
      </c>
      <c r="Q32" s="2963" t="str">
        <f t="shared" si="11"/>
        <v>建筑类型</v>
      </c>
      <c r="R32" s="774" t="s">
        <v>17</v>
      </c>
      <c r="S32" s="775">
        <f t="shared" si="12"/>
        <v>100</v>
      </c>
      <c r="T32" s="774" t="s">
        <v>17</v>
      </c>
      <c r="U32" s="775">
        <f t="shared" si="13"/>
        <v>100</v>
      </c>
      <c r="V32" s="774" t="s">
        <v>17</v>
      </c>
      <c r="W32" s="775">
        <f t="shared" si="14"/>
        <v>100</v>
      </c>
      <c r="X32" s="2965"/>
      <c r="Y32" s="3363" t="s">
        <v>2551</v>
      </c>
      <c r="Z32" s="2966" t="str">
        <f t="shared" si="18"/>
        <v>建筑类型</v>
      </c>
      <c r="AA32" s="2964">
        <f t="shared" si="15"/>
        <v>1</v>
      </c>
      <c r="AB32" s="2964">
        <f t="shared" si="16"/>
        <v>1</v>
      </c>
      <c r="AC32" s="2964">
        <f t="shared" si="17"/>
        <v>1</v>
      </c>
    </row>
    <row r="33" spans="1:29" s="471" customFormat="1" ht="15">
      <c r="A33" s="468"/>
      <c r="B33" s="2962" t="s">
        <v>2552</v>
      </c>
      <c r="C33" s="469">
        <f>土地信息!D5+土地信息!D3</f>
        <v>195632</v>
      </c>
      <c r="D33" s="136">
        <v>100</v>
      </c>
      <c r="E33" s="430">
        <v>510190.5</v>
      </c>
      <c r="F33" s="425">
        <f>LOOKUP(E33,103:103,104:104)-LOOKUP(C33,103:103,104:104)+100</f>
        <v>104</v>
      </c>
      <c r="G33" s="429">
        <v>80369</v>
      </c>
      <c r="H33" s="136">
        <f>LOOKUP(G33,103:103,104:104)-LOOKUP(C33,103:103,104:104)+100</f>
        <v>96</v>
      </c>
      <c r="I33" s="430">
        <v>108767</v>
      </c>
      <c r="J33" s="136">
        <f>LOOKUP(I33,103:103,104:104)-LOOKUP(C33,103:103,104:104)+100</f>
        <v>98</v>
      </c>
      <c r="K33" s="2597"/>
      <c r="L33" s="1138"/>
      <c r="M33" s="1141"/>
      <c r="N33" s="1141"/>
      <c r="O33" s="1141"/>
      <c r="P33" s="3407"/>
      <c r="Q33" s="776" t="str">
        <f t="shared" si="11"/>
        <v>项目建筑规模</v>
      </c>
      <c r="R33" s="777" t="s">
        <v>17</v>
      </c>
      <c r="S33" s="778">
        <f t="shared" si="12"/>
        <v>104</v>
      </c>
      <c r="T33" s="777" t="s">
        <v>17</v>
      </c>
      <c r="U33" s="778">
        <f t="shared" si="13"/>
        <v>96</v>
      </c>
      <c r="V33" s="777" t="s">
        <v>17</v>
      </c>
      <c r="W33" s="778">
        <f t="shared" si="14"/>
        <v>98</v>
      </c>
      <c r="X33" s="779"/>
      <c r="Y33" s="3363"/>
      <c r="Z33" s="780" t="str">
        <f t="shared" si="18"/>
        <v>项目建筑规模</v>
      </c>
      <c r="AA33" s="2964">
        <f t="shared" si="15"/>
        <v>0.96153846153846156</v>
      </c>
      <c r="AB33" s="2964">
        <f t="shared" si="16"/>
        <v>1.0416666666666667</v>
      </c>
      <c r="AC33" s="2964">
        <f t="shared" si="17"/>
        <v>1.0204081632653061</v>
      </c>
    </row>
    <row r="34" spans="1:29" ht="15">
      <c r="A34" s="472"/>
      <c r="B34" s="2962" t="s">
        <v>2553</v>
      </c>
      <c r="C34" s="2615" t="s">
        <v>3804</v>
      </c>
      <c r="D34" s="435">
        <v>100</v>
      </c>
      <c r="E34" s="2615" t="s">
        <v>3804</v>
      </c>
      <c r="F34" s="461">
        <f>SUMIF(105:105,E34,106:106)-SUMIF(105:105,C34,106:106)+100</f>
        <v>100</v>
      </c>
      <c r="G34" s="2615" t="s">
        <v>3804</v>
      </c>
      <c r="H34" s="435">
        <f>SUMIF(105:105,G34,106:106)-SUMIF(105:105,C34,106:106)+100</f>
        <v>100</v>
      </c>
      <c r="I34" s="2615" t="s">
        <v>3804</v>
      </c>
      <c r="J34" s="435">
        <f>SUMIF(105:105,I34,106:106)-SUMIF(105:105,C34,106:106)+100</f>
        <v>100</v>
      </c>
      <c r="K34" s="426">
        <v>5</v>
      </c>
      <c r="L34" s="1140"/>
      <c r="M34" s="1131"/>
      <c r="N34" s="1131"/>
      <c r="O34" s="1131"/>
      <c r="P34" s="3407"/>
      <c r="Q34" s="2963" t="str">
        <f t="shared" si="11"/>
        <v>建筑结构</v>
      </c>
      <c r="R34" s="774" t="s">
        <v>17</v>
      </c>
      <c r="S34" s="775">
        <f t="shared" si="12"/>
        <v>100</v>
      </c>
      <c r="T34" s="774" t="s">
        <v>17</v>
      </c>
      <c r="U34" s="775">
        <f t="shared" si="13"/>
        <v>100</v>
      </c>
      <c r="V34" s="774" t="s">
        <v>17</v>
      </c>
      <c r="W34" s="775">
        <f t="shared" si="14"/>
        <v>100</v>
      </c>
      <c r="X34" s="2965"/>
      <c r="Y34" s="3363"/>
      <c r="Z34" s="2966" t="str">
        <f t="shared" si="18"/>
        <v>建筑结构</v>
      </c>
      <c r="AA34" s="2964">
        <f t="shared" si="15"/>
        <v>1</v>
      </c>
      <c r="AB34" s="2964">
        <f t="shared" si="16"/>
        <v>1</v>
      </c>
      <c r="AC34" s="2964">
        <f t="shared" si="17"/>
        <v>1</v>
      </c>
    </row>
    <row r="35" spans="1:29" ht="15">
      <c r="A35" s="472"/>
      <c r="B35" s="2962" t="s">
        <v>2554</v>
      </c>
      <c r="C35" s="2609" t="s">
        <v>3818</v>
      </c>
      <c r="D35" s="435">
        <v>100</v>
      </c>
      <c r="E35" s="2609" t="s">
        <v>3818</v>
      </c>
      <c r="F35" s="461">
        <f>SUMIF(107:107,E35,108:108)-SUMIF(107:107,C35,108:108)+100</f>
        <v>100</v>
      </c>
      <c r="G35" s="2609" t="s">
        <v>3818</v>
      </c>
      <c r="H35" s="435">
        <f>SUMIF(107:107,G35,108:108)-SUMIF(107:107,C35,108:108)+100</f>
        <v>100</v>
      </c>
      <c r="I35" s="2609" t="s">
        <v>3818</v>
      </c>
      <c r="J35" s="435">
        <f>SUMIF(107:107,I35,108:108)-SUMIF(107:107,C35,108:108)+100</f>
        <v>100</v>
      </c>
      <c r="K35" s="426">
        <v>5</v>
      </c>
      <c r="L35" s="1140"/>
      <c r="M35" s="1131"/>
      <c r="N35" s="1131"/>
      <c r="O35" s="1131"/>
      <c r="P35" s="3407"/>
      <c r="Q35" s="2963" t="str">
        <f t="shared" si="11"/>
        <v>建筑品质</v>
      </c>
      <c r="R35" s="774" t="s">
        <v>17</v>
      </c>
      <c r="S35" s="775">
        <f t="shared" si="12"/>
        <v>100</v>
      </c>
      <c r="T35" s="774" t="s">
        <v>17</v>
      </c>
      <c r="U35" s="775">
        <f t="shared" si="13"/>
        <v>100</v>
      </c>
      <c r="V35" s="774" t="s">
        <v>17</v>
      </c>
      <c r="W35" s="775">
        <f t="shared" si="14"/>
        <v>100</v>
      </c>
      <c r="X35" s="2965"/>
      <c r="Y35" s="3363"/>
      <c r="Z35" s="2966" t="str">
        <f t="shared" si="18"/>
        <v>建筑品质</v>
      </c>
      <c r="AA35" s="2964">
        <f t="shared" si="15"/>
        <v>1</v>
      </c>
      <c r="AB35" s="2964">
        <f t="shared" si="16"/>
        <v>1</v>
      </c>
      <c r="AC35" s="2964">
        <f t="shared" si="17"/>
        <v>1</v>
      </c>
    </row>
    <row r="36" spans="1:29" ht="15">
      <c r="A36" s="472"/>
      <c r="B36" s="2962" t="s">
        <v>2555</v>
      </c>
      <c r="C36" s="2609" t="s">
        <v>3819</v>
      </c>
      <c r="D36" s="435">
        <v>100</v>
      </c>
      <c r="E36" s="2609" t="s">
        <v>3819</v>
      </c>
      <c r="F36" s="461">
        <f>SUMIF(109:109,E36,110:110)-SUMIF(109:109,C36,110:110)+100</f>
        <v>100</v>
      </c>
      <c r="G36" s="2609" t="s">
        <v>3819</v>
      </c>
      <c r="H36" s="435">
        <f>SUMIF(109:109,G36,110:110)-SUMIF(109:109,C36,110:110)+100</f>
        <v>100</v>
      </c>
      <c r="I36" s="2609" t="s">
        <v>3819</v>
      </c>
      <c r="J36" s="435">
        <f>SUMIF(109:109,I36,110:110)-SUMIF(109:109,C36,110:110)+100</f>
        <v>100</v>
      </c>
      <c r="K36" s="426">
        <v>3</v>
      </c>
      <c r="L36" s="1140"/>
      <c r="M36" s="1131"/>
      <c r="N36" s="1131"/>
      <c r="O36" s="1131"/>
      <c r="P36" s="3407"/>
      <c r="Q36" s="2963" t="str">
        <f t="shared" si="11"/>
        <v>公共部分装修</v>
      </c>
      <c r="R36" s="774" t="s">
        <v>17</v>
      </c>
      <c r="S36" s="775">
        <f t="shared" si="12"/>
        <v>100</v>
      </c>
      <c r="T36" s="774" t="s">
        <v>17</v>
      </c>
      <c r="U36" s="775">
        <f t="shared" si="13"/>
        <v>100</v>
      </c>
      <c r="V36" s="774" t="s">
        <v>17</v>
      </c>
      <c r="W36" s="775">
        <f t="shared" si="14"/>
        <v>100</v>
      </c>
      <c r="X36" s="2965"/>
      <c r="Y36" s="3363"/>
      <c r="Z36" s="2966" t="str">
        <f t="shared" si="18"/>
        <v>公共部分装修</v>
      </c>
      <c r="AA36" s="2964">
        <f t="shared" si="15"/>
        <v>1</v>
      </c>
      <c r="AB36" s="2964">
        <f t="shared" si="16"/>
        <v>1</v>
      </c>
      <c r="AC36" s="2964">
        <f t="shared" si="17"/>
        <v>1</v>
      </c>
    </row>
    <row r="37" spans="1:29" s="117" customFormat="1" ht="15" hidden="1">
      <c r="A37" s="473"/>
      <c r="B37" s="2962" t="s">
        <v>2556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c r="L37" s="1132"/>
      <c r="M37" s="1133"/>
      <c r="N37" s="1133"/>
      <c r="O37" s="1133"/>
      <c r="P37" s="3407"/>
      <c r="Q37" s="2960" t="str">
        <f t="shared" si="11"/>
        <v>成新度</v>
      </c>
      <c r="R37" s="770" t="s">
        <v>17</v>
      </c>
      <c r="S37" s="771">
        <f t="shared" si="12"/>
        <v>100</v>
      </c>
      <c r="T37" s="770" t="s">
        <v>17</v>
      </c>
      <c r="U37" s="771">
        <f t="shared" si="13"/>
        <v>100</v>
      </c>
      <c r="V37" s="770" t="s">
        <v>17</v>
      </c>
      <c r="W37" s="771">
        <f t="shared" si="14"/>
        <v>100</v>
      </c>
      <c r="X37" s="772"/>
      <c r="Y37" s="3363"/>
      <c r="Z37" s="2961" t="str">
        <f t="shared" si="18"/>
        <v>成新度</v>
      </c>
      <c r="AA37" s="773">
        <f t="shared" si="15"/>
        <v>1</v>
      </c>
      <c r="AB37" s="773">
        <f t="shared" si="16"/>
        <v>1</v>
      </c>
      <c r="AC37" s="773">
        <f t="shared" si="17"/>
        <v>1</v>
      </c>
    </row>
    <row r="38" spans="1:29" ht="15">
      <c r="A38" s="472"/>
      <c r="B38" s="2962" t="s">
        <v>2557</v>
      </c>
      <c r="C38" s="2609" t="s">
        <v>3820</v>
      </c>
      <c r="D38" s="435">
        <v>100</v>
      </c>
      <c r="E38" s="2609" t="s">
        <v>3820</v>
      </c>
      <c r="F38" s="461">
        <f>SUMIF(114:114,E38,115:115)-SUMIF(114:114,C38,115:115)+100</f>
        <v>100</v>
      </c>
      <c r="G38" s="2609" t="s">
        <v>3820</v>
      </c>
      <c r="H38" s="435">
        <f>SUMIF(114:114,G38,115:115)-SUMIF(114:114,C38,115:115)+100</f>
        <v>100</v>
      </c>
      <c r="I38" s="2609" t="s">
        <v>3820</v>
      </c>
      <c r="J38" s="435">
        <f>SUMIF(114:114,I38,115:115)-SUMIF(114:114,C38,115:115)+100</f>
        <v>100</v>
      </c>
      <c r="K38" s="426">
        <v>3</v>
      </c>
      <c r="L38" s="1140"/>
      <c r="M38" s="1131"/>
      <c r="N38" s="1131"/>
      <c r="O38" s="1131"/>
      <c r="P38" s="3407" t="s">
        <v>2551</v>
      </c>
      <c r="Q38" s="2963" t="str">
        <f t="shared" si="11"/>
        <v>物业管理</v>
      </c>
      <c r="R38" s="774" t="s">
        <v>17</v>
      </c>
      <c r="S38" s="775">
        <f t="shared" si="12"/>
        <v>100</v>
      </c>
      <c r="T38" s="774" t="s">
        <v>17</v>
      </c>
      <c r="U38" s="775">
        <f t="shared" si="13"/>
        <v>100</v>
      </c>
      <c r="V38" s="774" t="s">
        <v>17</v>
      </c>
      <c r="W38" s="775">
        <f t="shared" si="14"/>
        <v>100</v>
      </c>
      <c r="X38" s="2965"/>
      <c r="Y38" s="3363" t="s">
        <v>2551</v>
      </c>
      <c r="Z38" s="2966" t="str">
        <f t="shared" si="18"/>
        <v>物业管理</v>
      </c>
      <c r="AA38" s="2964">
        <f t="shared" si="15"/>
        <v>1</v>
      </c>
      <c r="AB38" s="2964">
        <f t="shared" si="16"/>
        <v>1</v>
      </c>
      <c r="AC38" s="2964">
        <f t="shared" si="17"/>
        <v>1</v>
      </c>
    </row>
    <row r="39" spans="1:29" ht="15">
      <c r="A39" s="472"/>
      <c r="B39" s="2962" t="s">
        <v>2558</v>
      </c>
      <c r="C39" s="2609" t="s">
        <v>3780</v>
      </c>
      <c r="D39" s="435">
        <v>100</v>
      </c>
      <c r="E39" s="2609" t="s">
        <v>3780</v>
      </c>
      <c r="F39" s="461">
        <f>SUMIF(116:116,E39,117:117)-SUMIF(116:116,C39,117:117)+100</f>
        <v>100</v>
      </c>
      <c r="G39" s="2609" t="s">
        <v>3780</v>
      </c>
      <c r="H39" s="435">
        <f>SUMIF(116:116,G39,117:117)-SUMIF(116:116,C39,117:117)+100</f>
        <v>100</v>
      </c>
      <c r="I39" s="2609" t="s">
        <v>3780</v>
      </c>
      <c r="J39" s="435">
        <f>SUMIF(116:116,I39,117:117)-SUMIF(116:116,C39,117:117)+100</f>
        <v>100</v>
      </c>
      <c r="K39" s="426">
        <v>2</v>
      </c>
      <c r="L39" s="1140"/>
      <c r="M39" s="1131"/>
      <c r="N39" s="1131"/>
      <c r="O39" s="1131"/>
      <c r="P39" s="3407"/>
      <c r="Q39" s="2963" t="str">
        <f t="shared" si="11"/>
        <v>市政基础设施</v>
      </c>
      <c r="R39" s="774" t="s">
        <v>17</v>
      </c>
      <c r="S39" s="775">
        <f t="shared" si="12"/>
        <v>100</v>
      </c>
      <c r="T39" s="774" t="s">
        <v>17</v>
      </c>
      <c r="U39" s="775">
        <f t="shared" si="13"/>
        <v>100</v>
      </c>
      <c r="V39" s="774" t="s">
        <v>17</v>
      </c>
      <c r="W39" s="775">
        <f t="shared" si="14"/>
        <v>100</v>
      </c>
      <c r="X39" s="2965"/>
      <c r="Y39" s="3363"/>
      <c r="Z39" s="2966" t="str">
        <f t="shared" si="18"/>
        <v>市政基础设施</v>
      </c>
      <c r="AA39" s="2964">
        <f t="shared" si="15"/>
        <v>1</v>
      </c>
      <c r="AB39" s="2964">
        <f t="shared" si="16"/>
        <v>1</v>
      </c>
      <c r="AC39" s="2964">
        <f t="shared" si="17"/>
        <v>1</v>
      </c>
    </row>
    <row r="40" spans="1:29" ht="15" hidden="1">
      <c r="A40" s="472"/>
      <c r="B40" s="2962" t="s">
        <v>2559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407"/>
      <c r="Q40" s="2963" t="str">
        <f t="shared" si="11"/>
        <v>房型</v>
      </c>
      <c r="R40" s="774" t="s">
        <v>17</v>
      </c>
      <c r="S40" s="775">
        <f t="shared" si="12"/>
        <v>100</v>
      </c>
      <c r="T40" s="774" t="s">
        <v>17</v>
      </c>
      <c r="U40" s="775">
        <f t="shared" si="13"/>
        <v>100</v>
      </c>
      <c r="V40" s="774" t="s">
        <v>17</v>
      </c>
      <c r="W40" s="775">
        <f t="shared" si="14"/>
        <v>100</v>
      </c>
      <c r="X40" s="2965"/>
      <c r="Y40" s="3363"/>
      <c r="Z40" s="2966" t="str">
        <f t="shared" si="18"/>
        <v>房型</v>
      </c>
      <c r="AA40" s="2964">
        <f t="shared" si="15"/>
        <v>1</v>
      </c>
      <c r="AB40" s="2964">
        <f t="shared" si="16"/>
        <v>1</v>
      </c>
      <c r="AC40" s="2964">
        <f t="shared" si="17"/>
        <v>1</v>
      </c>
    </row>
    <row r="41" spans="1:29" s="471" customFormat="1" ht="28.5" hidden="1">
      <c r="A41" s="468"/>
      <c r="B41" s="296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407"/>
      <c r="Q41" s="776" t="str">
        <f t="shared" si="11"/>
        <v>单套/主力户型建筑面积</v>
      </c>
      <c r="R41" s="777" t="s">
        <v>17</v>
      </c>
      <c r="S41" s="778">
        <f t="shared" si="12"/>
        <v>100</v>
      </c>
      <c r="T41" s="777" t="s">
        <v>17</v>
      </c>
      <c r="U41" s="778">
        <f t="shared" si="13"/>
        <v>100</v>
      </c>
      <c r="V41" s="777" t="s">
        <v>17</v>
      </c>
      <c r="W41" s="778">
        <f t="shared" si="14"/>
        <v>100</v>
      </c>
      <c r="X41" s="779"/>
      <c r="Y41" s="3363"/>
      <c r="Z41" s="780" t="str">
        <f t="shared" si="18"/>
        <v>单套/主力户型建筑面积</v>
      </c>
      <c r="AA41" s="2964">
        <f t="shared" si="15"/>
        <v>1</v>
      </c>
      <c r="AB41" s="2964">
        <f t="shared" si="16"/>
        <v>1</v>
      </c>
      <c r="AC41" s="2964">
        <f t="shared" si="17"/>
        <v>1</v>
      </c>
    </row>
    <row r="42" spans="1:29" ht="15.75" thickBot="1">
      <c r="A42" s="472"/>
      <c r="B42" s="2962" t="s">
        <v>2561</v>
      </c>
      <c r="C42" s="2609" t="s">
        <v>3822</v>
      </c>
      <c r="D42" s="435">
        <v>100</v>
      </c>
      <c r="E42" s="2610" t="s">
        <v>3819</v>
      </c>
      <c r="F42" s="461">
        <f>SUMIF(122:122,E42,123:123)-SUMIF(122:122,C42,123:123)+100</f>
        <v>108</v>
      </c>
      <c r="G42" s="2609" t="s">
        <v>3819</v>
      </c>
      <c r="H42" s="435">
        <f>SUMIF(122:122,G42,123:123)-SUMIF(122:122,C42,123:123)+100</f>
        <v>108</v>
      </c>
      <c r="I42" s="2610" t="s">
        <v>3822</v>
      </c>
      <c r="J42" s="435">
        <f>SUMIF(122:122,I42,123:123)-SUMIF(122:122,C42,123:123)+100</f>
        <v>100</v>
      </c>
      <c r="K42" s="426">
        <v>4</v>
      </c>
      <c r="L42" s="1140"/>
      <c r="M42" s="1131"/>
      <c r="N42" s="1131"/>
      <c r="O42" s="1131"/>
      <c r="P42" s="3407"/>
      <c r="Q42" s="2963" t="str">
        <f t="shared" si="11"/>
        <v>内部装修</v>
      </c>
      <c r="R42" s="774" t="s">
        <v>17</v>
      </c>
      <c r="S42" s="775">
        <f t="shared" si="12"/>
        <v>108</v>
      </c>
      <c r="T42" s="774" t="s">
        <v>17</v>
      </c>
      <c r="U42" s="775">
        <f t="shared" si="13"/>
        <v>108</v>
      </c>
      <c r="V42" s="774" t="s">
        <v>17</v>
      </c>
      <c r="W42" s="775">
        <f t="shared" si="14"/>
        <v>100</v>
      </c>
      <c r="X42" s="2965"/>
      <c r="Y42" s="3363"/>
      <c r="Z42" s="2966" t="str">
        <f t="shared" si="18"/>
        <v>内部装修</v>
      </c>
      <c r="AA42" s="2964">
        <f t="shared" si="15"/>
        <v>0.92592592592592593</v>
      </c>
      <c r="AB42" s="2964">
        <f t="shared" si="16"/>
        <v>0.92592592592592593</v>
      </c>
      <c r="AC42" s="2964">
        <f t="shared" si="17"/>
        <v>1</v>
      </c>
    </row>
    <row r="43" spans="1:29" ht="15.75" hidden="1" thickBot="1">
      <c r="A43" s="472"/>
      <c r="B43" s="2962" t="s">
        <v>2562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407"/>
      <c r="Q43" s="2963" t="str">
        <f t="shared" si="11"/>
        <v>内部装修维护情况</v>
      </c>
      <c r="R43" s="774" t="s">
        <v>17</v>
      </c>
      <c r="S43" s="775">
        <f t="shared" si="12"/>
        <v>100</v>
      </c>
      <c r="T43" s="774" t="s">
        <v>17</v>
      </c>
      <c r="U43" s="775">
        <f t="shared" si="13"/>
        <v>100</v>
      </c>
      <c r="V43" s="774" t="s">
        <v>17</v>
      </c>
      <c r="W43" s="775">
        <f t="shared" si="14"/>
        <v>100</v>
      </c>
      <c r="X43" s="2965"/>
      <c r="Y43" s="3363"/>
      <c r="Z43" s="2966" t="str">
        <f t="shared" si="18"/>
        <v>内部装修维护情况</v>
      </c>
      <c r="AA43" s="2964">
        <f t="shared" si="15"/>
        <v>1</v>
      </c>
      <c r="AB43" s="2964">
        <f t="shared" si="16"/>
        <v>1</v>
      </c>
      <c r="AC43" s="2964">
        <f t="shared" si="17"/>
        <v>1</v>
      </c>
    </row>
    <row r="44" spans="1:29" s="117" customFormat="1" ht="15.75" hidden="1" thickBot="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407"/>
      <c r="Q44" s="2960">
        <f t="shared" si="11"/>
        <v>111</v>
      </c>
      <c r="R44" s="770" t="s">
        <v>17</v>
      </c>
      <c r="S44" s="771">
        <f t="shared" si="12"/>
        <v>100</v>
      </c>
      <c r="T44" s="770" t="s">
        <v>17</v>
      </c>
      <c r="U44" s="771">
        <f t="shared" si="13"/>
        <v>100</v>
      </c>
      <c r="V44" s="770" t="s">
        <v>17</v>
      </c>
      <c r="W44" s="771">
        <f t="shared" si="14"/>
        <v>100</v>
      </c>
      <c r="X44" s="772"/>
      <c r="Y44" s="3363"/>
      <c r="Z44" s="2961">
        <f t="shared" si="18"/>
        <v>111</v>
      </c>
      <c r="AA44" s="773">
        <f t="shared" si="15"/>
        <v>1</v>
      </c>
      <c r="AB44" s="773">
        <f t="shared" si="16"/>
        <v>1</v>
      </c>
      <c r="AC44" s="773">
        <f t="shared" si="17"/>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407"/>
      <c r="Q45" s="2963">
        <f t="shared" si="11"/>
        <v>111</v>
      </c>
      <c r="R45" s="774" t="s">
        <v>17</v>
      </c>
      <c r="S45" s="775">
        <f t="shared" si="12"/>
        <v>100</v>
      </c>
      <c r="T45" s="774" t="s">
        <v>17</v>
      </c>
      <c r="U45" s="775">
        <f t="shared" si="13"/>
        <v>100</v>
      </c>
      <c r="V45" s="774" t="s">
        <v>17</v>
      </c>
      <c r="W45" s="775">
        <f t="shared" si="14"/>
        <v>100</v>
      </c>
      <c r="X45" s="2965"/>
      <c r="Y45" s="3363"/>
      <c r="Z45" s="2966">
        <f t="shared" si="18"/>
        <v>111</v>
      </c>
      <c r="AA45" s="2964">
        <f t="shared" si="15"/>
        <v>1</v>
      </c>
      <c r="AB45" s="2964">
        <f t="shared" si="16"/>
        <v>1</v>
      </c>
      <c r="AC45" s="2964">
        <f t="shared" si="17"/>
        <v>1</v>
      </c>
    </row>
    <row r="46" spans="1:29" ht="15.75" hidden="1"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408"/>
      <c r="Q46" s="2963">
        <f t="shared" si="11"/>
        <v>111</v>
      </c>
      <c r="R46" s="774" t="s">
        <v>20</v>
      </c>
      <c r="S46" s="775">
        <f t="shared" si="12"/>
        <v>100</v>
      </c>
      <c r="T46" s="774" t="s">
        <v>20</v>
      </c>
      <c r="U46" s="775">
        <f t="shared" si="13"/>
        <v>100</v>
      </c>
      <c r="V46" s="774" t="s">
        <v>20</v>
      </c>
      <c r="W46" s="775">
        <f t="shared" si="14"/>
        <v>100</v>
      </c>
      <c r="X46" s="2965"/>
      <c r="Y46" s="3409"/>
      <c r="Z46" s="2966">
        <f t="shared" si="18"/>
        <v>111</v>
      </c>
      <c r="AA46" s="2964">
        <f t="shared" si="15"/>
        <v>1</v>
      </c>
      <c r="AB46" s="2964">
        <f t="shared" si="16"/>
        <v>1</v>
      </c>
      <c r="AC46" s="2964">
        <f t="shared" si="17"/>
        <v>1</v>
      </c>
    </row>
    <row r="47" spans="1:29" ht="15">
      <c r="A47" s="479" t="s">
        <v>2563</v>
      </c>
      <c r="B47" s="480"/>
      <c r="C47" s="1407" t="s">
        <v>1</v>
      </c>
      <c r="D47" s="1408"/>
      <c r="E47" s="1409">
        <v>25500</v>
      </c>
      <c r="F47" s="1410"/>
      <c r="G47" s="1411">
        <v>27000</v>
      </c>
      <c r="H47" s="1412"/>
      <c r="I47" s="1409">
        <v>27000</v>
      </c>
      <c r="J47" s="1412"/>
      <c r="K47" s="2616"/>
      <c r="L47" s="1143"/>
      <c r="M47" s="1144"/>
      <c r="N47" s="1131"/>
      <c r="O47" s="1144"/>
      <c r="P47" s="3345" t="str">
        <f>A47</f>
        <v>成交单价（元/平方米）</v>
      </c>
      <c r="Q47" s="3345"/>
      <c r="R47" s="3405">
        <f>E47</f>
        <v>25500</v>
      </c>
      <c r="S47" s="3405"/>
      <c r="T47" s="3405">
        <f>G47</f>
        <v>27000</v>
      </c>
      <c r="U47" s="3405"/>
      <c r="V47" s="3405">
        <f>I47</f>
        <v>27000</v>
      </c>
      <c r="W47" s="3405"/>
      <c r="X47" s="759"/>
      <c r="Y47" s="781"/>
      <c r="Z47" s="759"/>
      <c r="AA47" s="759"/>
      <c r="AB47" s="759"/>
      <c r="AC47" s="759"/>
    </row>
    <row r="48" spans="1:29" ht="15.75" thickBot="1">
      <c r="A48" s="486" t="s">
        <v>2564</v>
      </c>
      <c r="B48" s="487"/>
      <c r="C48" s="1413">
        <f>R49</f>
        <v>26913</v>
      </c>
      <c r="D48" s="1414"/>
      <c r="E48" s="1415">
        <f>R48</f>
        <v>23439</v>
      </c>
      <c r="F48" s="1415"/>
      <c r="G48" s="1413">
        <f>T48</f>
        <v>29425</v>
      </c>
      <c r="H48" s="1414"/>
      <c r="I48" s="1415">
        <f>V48</f>
        <v>27875</v>
      </c>
      <c r="J48" s="1414"/>
      <c r="K48" s="2617"/>
      <c r="L48" s="1143"/>
      <c r="M48" s="1144"/>
      <c r="N48" s="1144"/>
      <c r="O48" s="1144"/>
      <c r="P48" s="3345" t="str">
        <f>A48</f>
        <v>比较价值（元/平方米）</v>
      </c>
      <c r="Q48" s="3345"/>
      <c r="R48" s="3405">
        <f>IF(F1="售价",ROUND(PRODUCT(R47,AA7:AA46),0),ROUND(PRODUCT(R47,AA7:AA46),1))</f>
        <v>23439</v>
      </c>
      <c r="S48" s="3405"/>
      <c r="T48" s="3405">
        <f>IF(F1="售价",ROUND(PRODUCT(T47,AB7:AB46),0),ROUND(PRODUCT(T47,AB7:AB46),1))</f>
        <v>29425</v>
      </c>
      <c r="U48" s="3405"/>
      <c r="V48" s="3405">
        <f>IF(F1="售价",ROUND(PRODUCT(V47,AC7:AC46),0),ROUND(PRODUCT(V47,AC7:AC46),1))</f>
        <v>27875</v>
      </c>
      <c r="W48" s="3405"/>
      <c r="X48" s="759"/>
      <c r="Y48" s="759"/>
      <c r="Z48" s="759"/>
      <c r="AA48" s="759"/>
      <c r="AB48" s="759"/>
      <c r="AC48" s="759"/>
    </row>
    <row r="49" spans="1:29" ht="15.75" thickBot="1">
      <c r="A49" s="492" t="s">
        <v>3813</v>
      </c>
      <c r="B49" s="493"/>
      <c r="C49" s="1416">
        <f>R49</f>
        <v>26913</v>
      </c>
      <c r="D49" s="1417"/>
      <c r="E49" s="1417"/>
      <c r="F49" s="1417"/>
      <c r="G49" s="1417"/>
      <c r="H49" s="1417"/>
      <c r="I49" s="1417"/>
      <c r="J49" s="1417"/>
      <c r="K49" s="2618"/>
      <c r="L49" s="1143"/>
      <c r="M49" s="1144"/>
      <c r="N49" s="1144"/>
      <c r="O49" s="1144"/>
      <c r="P49" s="3365" t="str">
        <f>A49</f>
        <v>估价对象小高层用房的比较价值（楼面单价，元/平方米）</v>
      </c>
      <c r="Q49" s="3366"/>
      <c r="R49" s="3404">
        <f>IF(F1="售价",ROUND(AVERAGE(R48:V48),0),ROUND(AVERAGE(R48:V48),1))</f>
        <v>26913</v>
      </c>
      <c r="S49" s="3404"/>
      <c r="T49" s="3404"/>
      <c r="U49" s="3404"/>
      <c r="V49" s="3404"/>
      <c r="W49" s="34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f>IF(E47&lt;E48,E48/E47-1,E47/E48-1)</f>
        <v>8.7930372456162864E-2</v>
      </c>
      <c r="F52" s="500" t="str">
        <f>IF(OR(E52&gt;=0.3,E52&lt;=-0.3),"超过30%","")</f>
        <v/>
      </c>
      <c r="G52" s="499">
        <f>IF(G47&lt;G48,G48/G47-1,G47/G48-1)</f>
        <v>8.9814814814814792E-2</v>
      </c>
      <c r="H52" s="500" t="str">
        <f>IF(OR(G52&gt;=0.3,G52&lt;=-0.3),"超过30%","")</f>
        <v/>
      </c>
      <c r="I52" s="499">
        <f>IF(I47&lt;I48,I48/I47-1,I47/I48-1)</f>
        <v>3.240740740740744E-2</v>
      </c>
      <c r="J52" s="500" t="str">
        <f>IF(OR(I52&gt;=0.3,I52&lt;=-0.3),"超过30%","")</f>
        <v/>
      </c>
      <c r="K52" s="1105"/>
      <c r="L52" s="1106"/>
      <c r="M52" s="1144"/>
      <c r="N52" s="1144"/>
      <c r="O52" s="1144"/>
    </row>
    <row r="53" spans="1:29" ht="13.5" customHeight="1">
      <c r="A53" s="1144"/>
      <c r="B53" s="1144"/>
      <c r="C53" s="497" t="s">
        <v>2566</v>
      </c>
      <c r="D53" s="501"/>
      <c r="E53" s="499">
        <f>IF(E48&lt;G48,G48/E48-1,E48/G48-1)</f>
        <v>0.25538632194206246</v>
      </c>
      <c r="F53" s="500" t="str">
        <f>IF(OR(E53&gt;=0.2,E53&lt;=-0.2),"超过20%","")</f>
        <v>超过20%</v>
      </c>
      <c r="G53" s="499">
        <f>IF(G48&lt;I48,I48/G48-1,G48/I48-1)</f>
        <v>5.5605381165919177E-2</v>
      </c>
      <c r="H53" s="500" t="str">
        <f>IF(OR(G53&gt;=0.2,G53&lt;=-0.2),"超过20%","")</f>
        <v/>
      </c>
      <c r="I53" s="499">
        <f>IF(I48&lt;E48,E48/I48-1,I48/E48-1)</f>
        <v>0.18925722087119756</v>
      </c>
      <c r="J53" s="500" t="str">
        <f>IF(OR(I53&gt;=0.2,I53&lt;=-0.2),"超过20%","")</f>
        <v/>
      </c>
      <c r="K53" s="1105"/>
      <c r="L53" s="1106"/>
      <c r="M53" s="1144"/>
      <c r="N53" s="1144"/>
      <c r="O53" s="1144"/>
    </row>
    <row r="54" spans="1:29" s="502" customFormat="1" ht="13.5" customHeight="1">
      <c r="A54" s="1145"/>
      <c r="B54" s="1145"/>
      <c r="C54" s="497" t="s">
        <v>2567</v>
      </c>
      <c r="D54" s="501"/>
      <c r="E54" s="499">
        <f>IF(E47&lt;G47,G47/E47-1,E47/G47-1)</f>
        <v>5.8823529411764719E-2</v>
      </c>
      <c r="F54" s="500" t="str">
        <f>IF(OR(E54&gt;=0.3,E54&lt;=-0.3),"超过30%","")</f>
        <v/>
      </c>
      <c r="G54" s="499">
        <f>IF(G47&lt;I47,I47/G47-1,G47/I47-1)</f>
        <v>0</v>
      </c>
      <c r="H54" s="500" t="str">
        <f>IF(OR(G54&gt;=0.3,G54&lt;=-0.3),"超过30%","")</f>
        <v/>
      </c>
      <c r="I54" s="499">
        <f>IF(I47&lt;E47,E47/I47-1,I47/E47-1)</f>
        <v>5.8823529411764719E-2</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1"/>
      <c r="Q57" s="504"/>
    </row>
    <row r="58" spans="1:29" s="508" customFormat="1" ht="15">
      <c r="A58" s="505" t="s">
        <v>2569</v>
      </c>
      <c r="B58" s="506"/>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2570</v>
      </c>
      <c r="B60" s="516"/>
      <c r="C60" s="517"/>
      <c r="D60" s="518"/>
      <c r="E60" s="518"/>
      <c r="F60" s="518"/>
      <c r="G60" s="518"/>
      <c r="H60" s="518"/>
      <c r="I60" s="518"/>
      <c r="J60" s="518"/>
      <c r="K60" s="518"/>
      <c r="L60" s="518"/>
      <c r="M60" s="519"/>
      <c r="N60" s="518"/>
      <c r="O60" s="519"/>
      <c r="P60" s="2623"/>
      <c r="Q60" s="504"/>
    </row>
    <row r="61" spans="1:29" s="117" customFormat="1" ht="15">
      <c r="A61" s="521" t="s">
        <v>2571</v>
      </c>
      <c r="B61" s="510"/>
      <c r="C61" s="522" t="s">
        <v>2572</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2573</v>
      </c>
      <c r="B63" s="528" t="s">
        <v>2540</v>
      </c>
      <c r="C63" s="529" t="str">
        <f>C9</f>
        <v>住宅</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2574</v>
      </c>
      <c r="D65" s="539" t="s">
        <v>2575</v>
      </c>
      <c r="E65" s="539" t="s">
        <v>2576</v>
      </c>
      <c r="F65" s="539" t="s">
        <v>2577</v>
      </c>
      <c r="G65" s="539" t="s">
        <v>2578</v>
      </c>
      <c r="H65" s="539" t="s">
        <v>2579</v>
      </c>
      <c r="I65" s="539" t="s">
        <v>2580</v>
      </c>
      <c r="J65" s="539"/>
      <c r="K65" s="540"/>
      <c r="L65" s="541"/>
      <c r="M65" s="542"/>
      <c r="N65" s="1152"/>
      <c r="O65" s="1152"/>
      <c r="P65" s="2625"/>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5"/>
      <c r="Q66" s="504"/>
    </row>
    <row r="67" spans="1:17" ht="15.75" thickTop="1">
      <c r="A67" s="534"/>
      <c r="B67" s="546" t="s">
        <v>2544</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v>0</v>
      </c>
      <c r="D68" s="549">
        <v>1</v>
      </c>
      <c r="E68" s="549">
        <v>2</v>
      </c>
      <c r="F68" s="549">
        <v>3</v>
      </c>
      <c r="G68" s="549">
        <v>4</v>
      </c>
      <c r="H68" s="549">
        <v>5</v>
      </c>
      <c r="I68" s="549"/>
      <c r="J68" s="549"/>
      <c r="K68" s="550"/>
      <c r="L68" s="551"/>
      <c r="M68" s="552"/>
      <c r="N68" s="1152"/>
      <c r="O68" s="1152"/>
      <c r="P68" s="2625"/>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5"/>
      <c r="Q69" s="504"/>
    </row>
    <row r="70" spans="1:17" s="471" customFormat="1" ht="16.5" hidden="1" thickTop="1" thickBot="1">
      <c r="A70" s="553"/>
      <c r="B70" s="538">
        <f>B12</f>
        <v>111</v>
      </c>
      <c r="C70" s="554"/>
      <c r="D70" s="554"/>
      <c r="E70" s="554"/>
      <c r="F70" s="554"/>
      <c r="G70" s="554"/>
      <c r="H70" s="555"/>
      <c r="I70" s="555"/>
      <c r="J70" s="555"/>
      <c r="K70" s="555"/>
      <c r="L70" s="556"/>
      <c r="M70" s="557"/>
      <c r="N70" s="1154"/>
      <c r="O70" s="1154"/>
      <c r="P70" s="2626"/>
      <c r="Q70" s="559"/>
    </row>
    <row r="71" spans="1:17" s="471" customFormat="1" ht="16.5" hidden="1" thickTop="1" thickBot="1">
      <c r="A71" s="553"/>
      <c r="B71" s="543"/>
      <c r="C71" s="560"/>
      <c r="D71" s="536"/>
      <c r="E71" s="536"/>
      <c r="F71" s="536"/>
      <c r="G71" s="536"/>
      <c r="H71" s="536"/>
      <c r="I71" s="536"/>
      <c r="J71" s="536"/>
      <c r="K71" s="536"/>
      <c r="L71" s="536"/>
      <c r="M71" s="537"/>
      <c r="N71" s="1153"/>
      <c r="O71" s="1153"/>
      <c r="P71" s="2626"/>
      <c r="Q71" s="559"/>
    </row>
    <row r="72" spans="1:17" s="471" customFormat="1" ht="16.5" hidden="1" thickTop="1" thickBot="1">
      <c r="A72" s="553"/>
      <c r="B72" s="538">
        <f>B13</f>
        <v>111</v>
      </c>
      <c r="C72" s="554"/>
      <c r="D72" s="554"/>
      <c r="E72" s="554"/>
      <c r="F72" s="554"/>
      <c r="G72" s="554"/>
      <c r="H72" s="555"/>
      <c r="I72" s="555"/>
      <c r="J72" s="555"/>
      <c r="K72" s="555"/>
      <c r="L72" s="556"/>
      <c r="M72" s="557"/>
      <c r="N72" s="1154"/>
      <c r="O72" s="1154"/>
      <c r="P72" s="2627"/>
      <c r="Q72" s="561"/>
    </row>
    <row r="73" spans="1:17" s="471" customFormat="1" ht="16.5" hidden="1" thickTop="1" thickBot="1">
      <c r="A73" s="553"/>
      <c r="B73" s="543"/>
      <c r="C73" s="560"/>
      <c r="D73" s="560"/>
      <c r="E73" s="560"/>
      <c r="F73" s="560"/>
      <c r="G73" s="560"/>
      <c r="H73" s="562"/>
      <c r="I73" s="562"/>
      <c r="J73" s="562"/>
      <c r="K73" s="562"/>
      <c r="L73" s="562"/>
      <c r="M73" s="563"/>
      <c r="N73" s="1154"/>
      <c r="O73" s="1154"/>
      <c r="P73" s="2626"/>
      <c r="Q73" s="559"/>
    </row>
    <row r="74" spans="1:17" s="471" customFormat="1" ht="16.5" hidden="1" thickTop="1" thickBot="1">
      <c r="A74" s="553"/>
      <c r="B74" s="546">
        <f>B14</f>
        <v>111</v>
      </c>
      <c r="C74" s="554"/>
      <c r="D74" s="554"/>
      <c r="E74" s="554"/>
      <c r="F74" s="554"/>
      <c r="G74" s="523"/>
      <c r="H74" s="564"/>
      <c r="I74" s="564"/>
      <c r="J74" s="564"/>
      <c r="K74" s="564"/>
      <c r="L74" s="565"/>
      <c r="M74" s="566"/>
      <c r="N74" s="1154"/>
      <c r="O74" s="1154"/>
      <c r="P74" s="2628"/>
      <c r="Q74" s="559"/>
    </row>
    <row r="75" spans="1:17" s="471" customFormat="1" ht="16.5" hidden="1" thickTop="1" thickBot="1">
      <c r="A75" s="568"/>
      <c r="B75" s="569"/>
      <c r="C75" s="570"/>
      <c r="D75" s="570"/>
      <c r="E75" s="570"/>
      <c r="F75" s="570"/>
      <c r="G75" s="570"/>
      <c r="H75" s="571"/>
      <c r="I75" s="571"/>
      <c r="J75" s="571"/>
      <c r="K75" s="571"/>
      <c r="L75" s="571"/>
      <c r="M75" s="572"/>
      <c r="N75" s="1154"/>
      <c r="O75" s="1154"/>
      <c r="P75" s="2626"/>
      <c r="Q75" s="559"/>
    </row>
    <row r="76" spans="1:17" ht="15" thickTop="1">
      <c r="A76" s="527" t="s">
        <v>2545</v>
      </c>
      <c r="B76" s="528" t="s">
        <v>2581</v>
      </c>
      <c r="C76" s="573" t="s">
        <v>2582</v>
      </c>
      <c r="D76" s="573" t="s">
        <v>2583</v>
      </c>
      <c r="E76" s="573" t="s">
        <v>2584</v>
      </c>
      <c r="F76" s="573" t="s">
        <v>2585</v>
      </c>
      <c r="G76" s="573" t="s">
        <v>2586</v>
      </c>
      <c r="H76" s="529"/>
      <c r="I76" s="529"/>
      <c r="J76" s="529"/>
      <c r="K76" s="574"/>
      <c r="L76" s="575"/>
      <c r="M76" s="576"/>
      <c r="N76" s="1152"/>
      <c r="O76" s="1152"/>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5"/>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5"/>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25"/>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2089</v>
      </c>
      <c r="C82" s="539" t="s">
        <v>2589</v>
      </c>
      <c r="D82" s="539" t="s">
        <v>2590</v>
      </c>
      <c r="E82" s="539" t="s">
        <v>2591</v>
      </c>
      <c r="F82" s="539" t="s">
        <v>2592</v>
      </c>
      <c r="G82" s="539" t="s">
        <v>2593</v>
      </c>
      <c r="H82" s="539"/>
      <c r="I82" s="539"/>
      <c r="J82" s="539"/>
      <c r="K82" s="539"/>
      <c r="L82" s="539"/>
      <c r="M82" s="1382"/>
      <c r="N82" s="1153"/>
      <c r="O82" s="1153"/>
      <c r="P82" s="262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5"/>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6.5" hidden="1" thickTop="1" thickBot="1">
      <c r="A86" s="579"/>
      <c r="B86" s="538" t="s">
        <v>2595</v>
      </c>
      <c r="C86" s="554"/>
      <c r="D86" s="554"/>
      <c r="E86" s="554"/>
      <c r="F86" s="554"/>
      <c r="G86" s="554"/>
      <c r="H86" s="554"/>
      <c r="I86" s="554"/>
      <c r="J86" s="554"/>
      <c r="K86" s="554"/>
      <c r="L86" s="580"/>
      <c r="M86" s="581"/>
      <c r="N86" s="1151"/>
      <c r="O86" s="1151"/>
      <c r="P86" s="2625"/>
      <c r="Q86" s="504"/>
    </row>
    <row r="87" spans="1:17" s="117" customFormat="1" ht="16.5" hidden="1" thickTop="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6.5" hidden="1" thickTop="1" thickBot="1">
      <c r="A88" s="579"/>
      <c r="B88" s="538" t="s">
        <v>2596</v>
      </c>
      <c r="C88" s="554"/>
      <c r="D88" s="554"/>
      <c r="E88" s="554"/>
      <c r="F88" s="2630"/>
      <c r="G88" s="554"/>
      <c r="H88" s="554"/>
      <c r="I88" s="554"/>
      <c r="J88" s="554"/>
      <c r="K88" s="554"/>
      <c r="L88" s="554"/>
      <c r="M88" s="581"/>
      <c r="N88" s="1151"/>
      <c r="O88" s="1151"/>
      <c r="P88" s="2625"/>
      <c r="Q88" s="504"/>
    </row>
    <row r="89" spans="1:17" s="117" customFormat="1" ht="16.5" hidden="1" thickTop="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t="str">
        <f>B27</f>
        <v>道路级别</v>
      </c>
      <c r="C90" s="2983" t="s">
        <v>3795</v>
      </c>
      <c r="D90" s="2983" t="s">
        <v>3776</v>
      </c>
      <c r="E90" s="2983" t="s">
        <v>3796</v>
      </c>
      <c r="F90" s="554"/>
      <c r="G90" s="554"/>
      <c r="H90" s="555"/>
      <c r="I90" s="555"/>
      <c r="J90" s="555"/>
      <c r="K90" s="555"/>
      <c r="L90" s="556"/>
      <c r="M90" s="557"/>
      <c r="N90" s="1154"/>
      <c r="O90" s="1154"/>
      <c r="P90" s="2626"/>
      <c r="Q90" s="559"/>
    </row>
    <row r="91" spans="1:17" s="471" customFormat="1" ht="15.75" thickBot="1">
      <c r="A91" s="553"/>
      <c r="B91" s="543"/>
      <c r="C91" s="560">
        <v>100</v>
      </c>
      <c r="D91" s="560">
        <v>98</v>
      </c>
      <c r="E91" s="560">
        <v>96</v>
      </c>
      <c r="F91" s="560"/>
      <c r="G91" s="560"/>
      <c r="H91" s="562"/>
      <c r="I91" s="562"/>
      <c r="J91" s="562"/>
      <c r="K91" s="562"/>
      <c r="L91" s="562"/>
      <c r="M91" s="563"/>
      <c r="N91" s="1154"/>
      <c r="O91" s="1154"/>
      <c r="P91" s="2626"/>
      <c r="Q91" s="559"/>
    </row>
    <row r="92" spans="1:17" ht="16.5" hidden="1" thickTop="1" thickBot="1">
      <c r="A92" s="534"/>
      <c r="B92" s="538">
        <f>B28</f>
        <v>111</v>
      </c>
      <c r="C92" s="554"/>
      <c r="D92" s="554"/>
      <c r="E92" s="554"/>
      <c r="F92" s="554"/>
      <c r="G92" s="583"/>
      <c r="H92" s="583"/>
      <c r="I92" s="583"/>
      <c r="J92" s="583"/>
      <c r="K92" s="584"/>
      <c r="L92" s="585"/>
      <c r="M92" s="586"/>
      <c r="N92" s="1152"/>
      <c r="O92" s="1152"/>
      <c r="P92" s="2625"/>
      <c r="Q92" s="504"/>
    </row>
    <row r="93" spans="1:17" ht="16.5" hidden="1" thickTop="1" thickBot="1">
      <c r="A93" s="534"/>
      <c r="B93" s="543"/>
      <c r="C93" s="560"/>
      <c r="D93" s="536"/>
      <c r="E93" s="536"/>
      <c r="F93" s="536"/>
      <c r="G93" s="536"/>
      <c r="H93" s="536"/>
      <c r="I93" s="536"/>
      <c r="J93" s="536"/>
      <c r="K93" s="536"/>
      <c r="L93" s="536"/>
      <c r="M93" s="537"/>
      <c r="N93" s="1153"/>
      <c r="O93" s="1153"/>
      <c r="P93" s="2625"/>
      <c r="Q93" s="504"/>
    </row>
    <row r="94" spans="1:17" ht="16.5" hidden="1" thickTop="1" thickBot="1">
      <c r="A94" s="534"/>
      <c r="B94" s="538">
        <f>B29</f>
        <v>111</v>
      </c>
      <c r="C94" s="554"/>
      <c r="D94" s="554"/>
      <c r="E94" s="554"/>
      <c r="F94" s="554"/>
      <c r="G94" s="583"/>
      <c r="H94" s="583"/>
      <c r="I94" s="583"/>
      <c r="J94" s="583"/>
      <c r="K94" s="584"/>
      <c r="L94" s="585"/>
      <c r="M94" s="586"/>
      <c r="N94" s="1152"/>
      <c r="O94" s="1152"/>
      <c r="P94" s="2625"/>
      <c r="Q94" s="504"/>
    </row>
    <row r="95" spans="1:17" ht="16.5" hidden="1" thickTop="1" thickBot="1">
      <c r="A95" s="534"/>
      <c r="B95" s="543"/>
      <c r="C95" s="560"/>
      <c r="D95" s="560"/>
      <c r="E95" s="560"/>
      <c r="F95" s="560"/>
      <c r="G95" s="536"/>
      <c r="H95" s="536"/>
      <c r="I95" s="536"/>
      <c r="J95" s="536"/>
      <c r="K95" s="536"/>
      <c r="L95" s="536"/>
      <c r="M95" s="537"/>
      <c r="N95" s="1153"/>
      <c r="O95" s="1153"/>
      <c r="P95" s="2625"/>
      <c r="Q95" s="504"/>
    </row>
    <row r="96" spans="1:17" ht="16.5" hidden="1" thickTop="1" thickBot="1">
      <c r="A96" s="534"/>
      <c r="B96" s="538">
        <f>B30</f>
        <v>111</v>
      </c>
      <c r="C96" s="554"/>
      <c r="D96" s="554"/>
      <c r="E96" s="554"/>
      <c r="F96" s="554"/>
      <c r="G96" s="583"/>
      <c r="H96" s="583"/>
      <c r="I96" s="583"/>
      <c r="J96" s="583"/>
      <c r="K96" s="584"/>
      <c r="L96" s="585"/>
      <c r="M96" s="586"/>
      <c r="N96" s="1152"/>
      <c r="O96" s="1152"/>
      <c r="P96" s="2625"/>
      <c r="Q96" s="504"/>
    </row>
    <row r="97" spans="1:17" ht="16.5" hidden="1" thickTop="1" thickBot="1">
      <c r="A97" s="534"/>
      <c r="B97" s="543"/>
      <c r="C97" s="570"/>
      <c r="D97" s="570"/>
      <c r="E97" s="570"/>
      <c r="F97" s="570"/>
      <c r="G97" s="536"/>
      <c r="H97" s="536"/>
      <c r="I97" s="536"/>
      <c r="J97" s="536"/>
      <c r="K97" s="536"/>
      <c r="L97" s="536"/>
      <c r="M97" s="537"/>
      <c r="N97" s="1153"/>
      <c r="O97" s="1153"/>
      <c r="P97" s="2625"/>
      <c r="Q97" s="504"/>
    </row>
    <row r="98" spans="1:17" ht="16.5" hidden="1" thickTop="1" thickBot="1">
      <c r="A98" s="534"/>
      <c r="B98" s="546">
        <f>B31</f>
        <v>111</v>
      </c>
      <c r="C98" s="587"/>
      <c r="D98" s="587"/>
      <c r="E98" s="587"/>
      <c r="F98" s="587"/>
      <c r="G98" s="587"/>
      <c r="H98" s="587"/>
      <c r="I98" s="587"/>
      <c r="J98" s="587"/>
      <c r="K98" s="588"/>
      <c r="L98" s="589"/>
      <c r="M98" s="590"/>
      <c r="N98" s="1152"/>
      <c r="O98" s="1152"/>
      <c r="P98" s="2625"/>
      <c r="Q98" s="504"/>
    </row>
    <row r="99" spans="1:17" ht="16.5" hidden="1" thickTop="1" thickBot="1">
      <c r="A99" s="2631"/>
      <c r="B99" s="569"/>
      <c r="C99" s="591"/>
      <c r="D99" s="591"/>
      <c r="E99" s="591"/>
      <c r="F99" s="591"/>
      <c r="G99" s="591"/>
      <c r="H99" s="591"/>
      <c r="I99" s="591"/>
      <c r="J99" s="591"/>
      <c r="K99" s="591"/>
      <c r="L99" s="591"/>
      <c r="M99" s="592"/>
      <c r="N99" s="1153"/>
      <c r="O99" s="1153"/>
      <c r="P99" s="2625"/>
      <c r="Q99" s="504"/>
    </row>
    <row r="100" spans="1:17" ht="15" thickTop="1">
      <c r="A100" s="527" t="s">
        <v>2549</v>
      </c>
      <c r="B100" s="528" t="s">
        <v>2597</v>
      </c>
      <c r="C100" s="2982" t="s">
        <v>3799</v>
      </c>
      <c r="D100" s="2982" t="s">
        <v>3800</v>
      </c>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5"/>
      <c r="Q101" s="504"/>
    </row>
    <row r="102" spans="1:17" ht="29.25" thickTop="1">
      <c r="A102" s="534"/>
      <c r="B102" s="538" t="s">
        <v>2598</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200000(含)-400000</v>
      </c>
      <c r="H102" s="578" t="str">
        <f t="shared" si="27"/>
        <v>400000(含)-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50000</v>
      </c>
      <c r="E103" s="595">
        <v>100000</v>
      </c>
      <c r="F103" s="595">
        <v>150000</v>
      </c>
      <c r="G103" s="595">
        <v>200000</v>
      </c>
      <c r="H103" s="595">
        <v>400000</v>
      </c>
      <c r="I103" s="595"/>
      <c r="J103" s="596"/>
      <c r="K103" s="596"/>
      <c r="L103" s="597"/>
      <c r="M103" s="598"/>
      <c r="N103" s="1154"/>
      <c r="O103" s="1154"/>
      <c r="P103" s="2626"/>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6"/>
      <c r="N104" s="1153"/>
      <c r="O104" s="1153"/>
      <c r="P104" s="2626"/>
      <c r="Q104" s="559"/>
    </row>
    <row r="105" spans="1:17" ht="15" thickTop="1">
      <c r="A105" s="599"/>
      <c r="B105" s="538" t="s">
        <v>2599</v>
      </c>
      <c r="C105" s="2983" t="s">
        <v>3805</v>
      </c>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3"/>
      <c r="O106" s="1153"/>
      <c r="P106" s="2625"/>
      <c r="Q106" s="504"/>
    </row>
    <row r="107" spans="1:17" ht="15" thickTop="1">
      <c r="A107" s="599"/>
      <c r="B107" s="538" t="s">
        <v>2600</v>
      </c>
      <c r="C107" s="2984" t="s">
        <v>3801</v>
      </c>
      <c r="D107" s="2984" t="s">
        <v>3802</v>
      </c>
      <c r="E107" s="2984" t="s">
        <v>3803</v>
      </c>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3"/>
      <c r="O108" s="1153"/>
      <c r="P108" s="2625"/>
      <c r="Q108" s="504"/>
    </row>
    <row r="109" spans="1:17" ht="15" thickTop="1">
      <c r="A109" s="599"/>
      <c r="B109" s="538" t="s">
        <v>2601</v>
      </c>
      <c r="C109" s="2983" t="s">
        <v>3806</v>
      </c>
      <c r="D109" s="2983" t="s">
        <v>3807</v>
      </c>
      <c r="E109" s="2983" t="s">
        <v>3808</v>
      </c>
      <c r="F109" s="2984" t="s">
        <v>3809</v>
      </c>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6"/>
      <c r="Q113" s="559"/>
    </row>
    <row r="114" spans="1:17" ht="15" thickTop="1">
      <c r="A114" s="599"/>
      <c r="B114" s="538" t="s">
        <v>2602</v>
      </c>
      <c r="C114" s="2983" t="s">
        <v>3810</v>
      </c>
      <c r="D114" s="2983" t="s">
        <v>3811</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97</v>
      </c>
      <c r="E115" s="544">
        <f t="shared" si="31"/>
        <v>94</v>
      </c>
      <c r="F115" s="544">
        <f t="shared" si="31"/>
        <v>91</v>
      </c>
      <c r="G115" s="544">
        <f t="shared" si="31"/>
        <v>88</v>
      </c>
      <c r="H115" s="544">
        <f t="shared" si="31"/>
        <v>85</v>
      </c>
      <c r="I115" s="544">
        <f t="shared" si="31"/>
        <v>82</v>
      </c>
      <c r="J115" s="544">
        <f t="shared" si="31"/>
        <v>79</v>
      </c>
      <c r="K115" s="544">
        <f t="shared" si="31"/>
        <v>76</v>
      </c>
      <c r="L115" s="544">
        <f t="shared" si="31"/>
        <v>73</v>
      </c>
      <c r="M115" s="544">
        <f t="shared" si="31"/>
        <v>70</v>
      </c>
      <c r="N115" s="1153"/>
      <c r="O115" s="1153"/>
      <c r="P115" s="2625"/>
      <c r="Q115" s="504"/>
    </row>
    <row r="116" spans="1:17" ht="15" thickTop="1">
      <c r="A116" s="599"/>
      <c r="B116" s="538" t="s">
        <v>2603</v>
      </c>
      <c r="C116" s="2983" t="s">
        <v>3821</v>
      </c>
      <c r="D116" s="2983"/>
      <c r="E116" s="2983"/>
      <c r="F116" s="2984"/>
      <c r="G116" s="554"/>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75" hidden="1" thickTop="1" thickBot="1">
      <c r="A118" s="599"/>
      <c r="B118" s="538" t="s">
        <v>2604</v>
      </c>
      <c r="C118" s="583"/>
      <c r="D118" s="583"/>
      <c r="E118" s="583"/>
      <c r="F118" s="583"/>
      <c r="G118" s="583"/>
      <c r="H118" s="583"/>
      <c r="I118" s="583"/>
      <c r="J118" s="583"/>
      <c r="K118" s="584"/>
      <c r="L118" s="585"/>
      <c r="M118" s="586"/>
      <c r="N118" s="1152"/>
      <c r="O118" s="1152"/>
      <c r="P118" s="2625"/>
      <c r="Q118" s="504"/>
    </row>
    <row r="119" spans="1:17" ht="16.5" hidden="1" thickTop="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9.25" hidden="1" thickTop="1" thickBot="1">
      <c r="A120" s="593"/>
      <c r="B120" s="538" t="s">
        <v>2560</v>
      </c>
      <c r="C120" s="554"/>
      <c r="D120" s="554"/>
      <c r="E120" s="554"/>
      <c r="F120" s="554"/>
      <c r="G120" s="554"/>
      <c r="H120" s="554"/>
      <c r="I120" s="554"/>
      <c r="J120" s="554"/>
      <c r="K120" s="554"/>
      <c r="L120" s="580"/>
      <c r="M120" s="581"/>
      <c r="N120" s="1154"/>
      <c r="O120" s="1154"/>
      <c r="P120" s="2626"/>
      <c r="Q120" s="559"/>
    </row>
    <row r="121" spans="1:17" s="471" customFormat="1" ht="16.5" hidden="1" thickTop="1"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2605</v>
      </c>
      <c r="C122" s="2983" t="s">
        <v>3806</v>
      </c>
      <c r="D122" s="2983" t="s">
        <v>3807</v>
      </c>
      <c r="E122" s="2983" t="s">
        <v>3808</v>
      </c>
      <c r="F122" s="2984" t="s">
        <v>3809</v>
      </c>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3"/>
      <c r="O123" s="1153"/>
      <c r="P123" s="2625"/>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2607</v>
      </c>
    </row>
    <row r="137" spans="1:17" ht="15">
      <c r="B137" s="2633" t="s">
        <v>2608</v>
      </c>
      <c r="C137" s="2634"/>
      <c r="D137" s="2634"/>
      <c r="E137" s="2634"/>
      <c r="F137" s="2634"/>
      <c r="G137" s="2635"/>
      <c r="H137" s="2636"/>
      <c r="I137" s="2637" t="s">
        <v>2609</v>
      </c>
      <c r="J137" s="2634"/>
      <c r="K137" s="2638"/>
    </row>
    <row r="138" spans="1:17" ht="15">
      <c r="B138" s="2639"/>
      <c r="C138" s="146" t="s">
        <v>2610</v>
      </c>
      <c r="D138" s="146" t="s">
        <v>2611</v>
      </c>
      <c r="E138" s="2640" t="s">
        <v>2612</v>
      </c>
      <c r="F138" s="2641" t="s">
        <v>2613</v>
      </c>
      <c r="G138" s="146" t="s">
        <v>2611</v>
      </c>
      <c r="H138" s="147" t="s">
        <v>2612</v>
      </c>
      <c r="I138" s="2642"/>
      <c r="J138" s="146" t="s">
        <v>2614</v>
      </c>
      <c r="K138" s="147" t="s">
        <v>2615</v>
      </c>
    </row>
    <row r="139" spans="1:17" ht="15">
      <c r="B139" s="1084">
        <v>6</v>
      </c>
      <c r="C139" s="1085">
        <v>96</v>
      </c>
      <c r="D139" s="2643" t="s">
        <v>2616</v>
      </c>
      <c r="E139" s="1086">
        <v>100</v>
      </c>
      <c r="F139" s="1087">
        <v>102.5</v>
      </c>
      <c r="G139" s="2643" t="s">
        <v>2616</v>
      </c>
      <c r="H139" s="1088">
        <v>105</v>
      </c>
      <c r="I139" s="2644" t="s">
        <v>2617</v>
      </c>
      <c r="J139" s="1085">
        <v>20</v>
      </c>
      <c r="K139" s="1089">
        <f>C145/(J139-2)</f>
        <v>4.0555555555555553E-3</v>
      </c>
    </row>
    <row r="140" spans="1:17" ht="15">
      <c r="B140" s="1090">
        <v>5</v>
      </c>
      <c r="C140" s="1091">
        <v>100</v>
      </c>
      <c r="D140" s="1091"/>
      <c r="E140" s="1092"/>
      <c r="F140" s="1093">
        <v>102</v>
      </c>
      <c r="G140" s="1091"/>
      <c r="H140" s="1094"/>
      <c r="I140" s="2645" t="s">
        <v>2618</v>
      </c>
      <c r="J140" s="315">
        <f>ROUNDUP((J139-1)/2,0)</f>
        <v>10</v>
      </c>
      <c r="K140" s="1095">
        <v>100</v>
      </c>
    </row>
    <row r="141" spans="1:17" ht="15">
      <c r="B141" s="1090">
        <v>4</v>
      </c>
      <c r="C141" s="1091">
        <v>102</v>
      </c>
      <c r="D141" s="1091"/>
      <c r="E141" s="1092"/>
      <c r="F141" s="1093">
        <v>101.5</v>
      </c>
      <c r="G141" s="1091"/>
      <c r="H141" s="1094"/>
      <c r="I141" s="2645" t="s">
        <v>2619</v>
      </c>
      <c r="J141" s="315">
        <v>1</v>
      </c>
      <c r="K141" s="1096">
        <f>ROUND(100+(J141-J140)*K139*100,1)</f>
        <v>96.4</v>
      </c>
    </row>
    <row r="142" spans="1:17" ht="15">
      <c r="B142" s="1090">
        <v>3</v>
      </c>
      <c r="C142" s="1091">
        <v>103</v>
      </c>
      <c r="D142" s="1091"/>
      <c r="E142" s="1092"/>
      <c r="F142" s="1093">
        <v>101</v>
      </c>
      <c r="G142" s="1091"/>
      <c r="H142" s="1094"/>
      <c r="I142" s="2645" t="s">
        <v>2620</v>
      </c>
      <c r="J142" s="315">
        <f>J139</f>
        <v>20</v>
      </c>
      <c r="K142" s="1097">
        <v>95</v>
      </c>
    </row>
    <row r="143" spans="1:17" ht="15">
      <c r="B143" s="1090">
        <v>2</v>
      </c>
      <c r="C143" s="1091">
        <v>100</v>
      </c>
      <c r="D143" s="1091"/>
      <c r="E143" s="1092"/>
      <c r="F143" s="1093">
        <v>100.5</v>
      </c>
      <c r="G143" s="1091"/>
      <c r="H143" s="1094"/>
      <c r="I143" s="2645" t="s">
        <v>2621</v>
      </c>
      <c r="J143" s="1091">
        <v>15</v>
      </c>
      <c r="K143" s="1096">
        <f>ROUND(100+(J143-J140)*K139*100,1)</f>
        <v>102</v>
      </c>
    </row>
    <row r="144" spans="1:17" ht="15">
      <c r="B144" s="1090">
        <v>1</v>
      </c>
      <c r="C144" s="1091">
        <v>98</v>
      </c>
      <c r="D144" s="2646" t="s">
        <v>2622</v>
      </c>
      <c r="E144" s="1092">
        <v>102</v>
      </c>
      <c r="F144" s="1098">
        <v>100</v>
      </c>
      <c r="G144" s="2646" t="s">
        <v>2622</v>
      </c>
      <c r="H144" s="1094">
        <v>105</v>
      </c>
      <c r="I144" s="2645" t="s">
        <v>2621</v>
      </c>
      <c r="J144" s="1091">
        <v>18</v>
      </c>
      <c r="K144" s="1096">
        <f>ROUND(100+(J144-J140)*K139*100,1)</f>
        <v>103.2</v>
      </c>
    </row>
    <row r="145" spans="2:11" ht="15.75" thickBot="1">
      <c r="B145" s="2647" t="s">
        <v>2623</v>
      </c>
      <c r="C145" s="1099">
        <f>ROUND(MAX(C139:C144)/MIN(C139:C144)-1,3)</f>
        <v>7.2999999999999995E-2</v>
      </c>
      <c r="D145" s="1100"/>
      <c r="E145" s="1100"/>
      <c r="F145" s="2648" t="s">
        <v>2624</v>
      </c>
      <c r="G145" s="2649"/>
      <c r="H145" s="2650"/>
      <c r="I145" s="2651" t="s">
        <v>2621</v>
      </c>
      <c r="J145" s="1101">
        <v>8</v>
      </c>
      <c r="K145" s="1102">
        <f>ROUND(100+(J145-J140)*K139*100,1)</f>
        <v>99.2</v>
      </c>
    </row>
    <row r="147" spans="2:11">
      <c r="B147" s="2632" t="s">
        <v>2625</v>
      </c>
    </row>
    <row r="148" spans="2:11">
      <c r="B148" s="2632" t="s">
        <v>2626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37" priority="14" stopIfTrue="1" operator="containsText" text="超过">
      <formula>NOT(ISERROR(SEARCH("超过",F52)))</formula>
    </cfRule>
  </conditionalFormatting>
  <conditionalFormatting sqref="J54">
    <cfRule type="containsText" dxfId="36" priority="13" stopIfTrue="1" operator="containsText" text="超过">
      <formula>NOT(ISERROR(SEARCH("超过",J54)))</formula>
    </cfRule>
  </conditionalFormatting>
  <conditionalFormatting sqref="H54">
    <cfRule type="containsText" dxfId="35" priority="12" stopIfTrue="1" operator="containsText" text="超过">
      <formula>NOT(ISERROR(SEARCH("超过",H54)))</formula>
    </cfRule>
  </conditionalFormatting>
  <conditionalFormatting sqref="F54">
    <cfRule type="containsText" dxfId="34" priority="11" stopIfTrue="1" operator="containsText" text="超过">
      <formula>NOT(ISERROR(SEARCH("超过",F54)))</formula>
    </cfRule>
  </conditionalFormatting>
  <conditionalFormatting sqref="F53 H53 J53">
    <cfRule type="containsText" dxfId="33" priority="10" stopIfTrue="1" operator="containsText" text="超过">
      <formula>NOT(ISERROR(SEARCH("超过",F53)))</formula>
    </cfRule>
  </conditionalFormatting>
  <conditionalFormatting sqref="E52">
    <cfRule type="expression" dxfId="32" priority="9" stopIfTrue="1">
      <formula>$F$52="超过30%"</formula>
    </cfRule>
  </conditionalFormatting>
  <conditionalFormatting sqref="G54">
    <cfRule type="expression" dxfId="31" priority="8" stopIfTrue="1">
      <formula>$H$54="超过30%"</formula>
    </cfRule>
  </conditionalFormatting>
  <conditionalFormatting sqref="E53">
    <cfRule type="expression" dxfId="30" priority="7" stopIfTrue="1">
      <formula>$F$53="超过20%"</formula>
    </cfRule>
  </conditionalFormatting>
  <conditionalFormatting sqref="E54">
    <cfRule type="expression" dxfId="29" priority="6" stopIfTrue="1">
      <formula>$F$54="超过30%"</formula>
    </cfRule>
  </conditionalFormatting>
  <conditionalFormatting sqref="G52">
    <cfRule type="expression" dxfId="28" priority="5" stopIfTrue="1">
      <formula>$H$52="超过30%"</formula>
    </cfRule>
  </conditionalFormatting>
  <conditionalFormatting sqref="G53">
    <cfRule type="expression" dxfId="27" priority="4" stopIfTrue="1">
      <formula>$H$53="超过20%"</formula>
    </cfRule>
  </conditionalFormatting>
  <conditionalFormatting sqref="I52">
    <cfRule type="expression" dxfId="26" priority="3" stopIfTrue="1">
      <formula>$J$52="超过30%"</formula>
    </cfRule>
  </conditionalFormatting>
  <conditionalFormatting sqref="I53">
    <cfRule type="expression" dxfId="25" priority="2" stopIfTrue="1">
      <formula>$J$53="超过20%"</formula>
    </cfRule>
  </conditionalFormatting>
  <conditionalFormatting sqref="I54">
    <cfRule type="expression" dxfId="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6"/>
      <c r="C2" s="3086"/>
      <c r="D2" s="3086"/>
      <c r="E2" s="3086"/>
    </row>
    <row r="3" spans="1:5" ht="18">
      <c r="A3" s="3087" t="str">
        <f>IF(项目基本情况!B9="房地产市场价值","估价结果一览表（市场价值不需“结果表-1”）","估价结果一览表")</f>
        <v>估价结果一览表</v>
      </c>
      <c r="B3" s="3087"/>
      <c r="C3" s="3087"/>
      <c r="D3" s="3087"/>
      <c r="E3" s="3087"/>
    </row>
    <row r="4" spans="1:5" ht="19.5" thickBot="1">
      <c r="A4" s="1959"/>
      <c r="B4" s="3085" t="s">
        <v>1625</v>
      </c>
      <c r="C4" s="3085"/>
      <c r="D4" s="3085"/>
      <c r="E4" s="1959"/>
    </row>
    <row r="5" spans="1:5" ht="16.5" thickTop="1">
      <c r="A5" s="1957"/>
      <c r="B5" s="3083" t="s">
        <v>1617</v>
      </c>
      <c r="C5" s="1960" t="s">
        <v>1618</v>
      </c>
      <c r="D5" s="1040">
        <f ca="1">结果表!H101</f>
        <v>80133</v>
      </c>
      <c r="E5" s="1957"/>
    </row>
    <row r="6" spans="1:5" ht="15.75">
      <c r="A6" s="1957"/>
      <c r="B6" s="3083"/>
      <c r="C6" s="1960" t="s">
        <v>1619</v>
      </c>
      <c r="D6" s="1040" t="str">
        <f ca="1">NUMBERSTRING(INT(D5*10000),2)&amp;"元整"</f>
        <v>捌亿零壹佰叁拾叁万元整</v>
      </c>
      <c r="E6" s="1957"/>
    </row>
    <row r="7" spans="1:5" ht="15.75">
      <c r="A7" s="1957"/>
      <c r="B7" s="3088"/>
      <c r="C7" s="1961" t="s">
        <v>1620</v>
      </c>
      <c r="D7" s="1041">
        <f ca="1">结果表!H102</f>
        <v>20974</v>
      </c>
      <c r="E7" s="1957"/>
    </row>
    <row r="8" spans="1:5" ht="15.75">
      <c r="A8" s="1957"/>
      <c r="B8" s="3089" t="str">
        <f>结果表!E103</f>
        <v>2.估价师知悉的法定优先受偿款</v>
      </c>
      <c r="C8" s="1962" t="s">
        <v>1621</v>
      </c>
      <c r="D8" s="1041">
        <f>结果表!H103</f>
        <v>0</v>
      </c>
      <c r="E8" s="1957"/>
    </row>
    <row r="9" spans="1:5" ht="15.75">
      <c r="A9" s="1957"/>
      <c r="B9" s="3091"/>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3082" t="str">
        <f>结果表!E107</f>
        <v>3.房地产抵押价值</v>
      </c>
      <c r="C13" s="1965" t="s">
        <v>1618</v>
      </c>
      <c r="D13" s="1043">
        <f ca="1">结果表!H107</f>
        <v>80133</v>
      </c>
      <c r="E13" s="1957"/>
    </row>
    <row r="14" spans="1:5" ht="15.75">
      <c r="A14" s="1957"/>
      <c r="B14" s="3083"/>
      <c r="C14" s="1960" t="s">
        <v>1619</v>
      </c>
      <c r="D14" s="1040" t="str">
        <f ca="1">NUMBERSTRING(INT(D13*10000),2)&amp;"元整"</f>
        <v>捌亿零壹佰叁拾叁万元整</v>
      </c>
      <c r="E14" s="1957"/>
    </row>
    <row r="15" spans="1:5" ht="15">
      <c r="A15" s="1957"/>
      <c r="B15" s="3088"/>
      <c r="C15" s="1961" t="s">
        <v>1629</v>
      </c>
      <c r="D15" s="1052">
        <f ca="1">结果表!H108</f>
        <v>20974</v>
      </c>
      <c r="E15" s="1957"/>
    </row>
    <row r="16" spans="1:5" ht="15">
      <c r="A16" s="1957"/>
      <c r="B16" s="3089" t="str">
        <f>结果表!E109</f>
        <v>——</v>
      </c>
      <c r="C16" s="1965" t="s">
        <v>1630</v>
      </c>
      <c r="D16" s="1966" t="str">
        <f>结果表!H109</f>
        <v>——</v>
      </c>
      <c r="E16" s="1957"/>
    </row>
    <row r="17" spans="1:5" ht="15.75">
      <c r="A17" s="1957"/>
      <c r="B17" s="3090"/>
      <c r="C17" s="1960" t="s">
        <v>1631</v>
      </c>
      <c r="D17" s="1040" t="e">
        <f>NUMBERSTRING(INT(D16*10000),2)&amp;"元整"</f>
        <v>#VALUE!</v>
      </c>
      <c r="E17" s="1957"/>
    </row>
    <row r="18" spans="1:5" ht="15">
      <c r="A18" s="1957"/>
      <c r="B18" s="3091"/>
      <c r="C18" s="1961" t="s">
        <v>1620</v>
      </c>
      <c r="D18" s="1052" t="str">
        <f>结果表!H110</f>
        <v>——</v>
      </c>
      <c r="E18" s="1957"/>
    </row>
    <row r="19" spans="1:5" ht="15.75">
      <c r="A19" s="1957"/>
      <c r="B19" s="3082" t="str">
        <f>结果表!E111</f>
        <v>4.抵押净值</v>
      </c>
      <c r="C19" s="1965" t="s">
        <v>1618</v>
      </c>
      <c r="D19" s="1041">
        <f ca="1">结果表!H111</f>
        <v>30462</v>
      </c>
      <c r="E19" s="1957"/>
    </row>
    <row r="20" spans="1:5" ht="15.75">
      <c r="A20" s="1957"/>
      <c r="B20" s="3083"/>
      <c r="C20" s="1960" t="s">
        <v>1631</v>
      </c>
      <c r="D20" s="1040" t="str">
        <f ca="1">NUMBERSTRING(INT(D19*10000),2)&amp;"元整"</f>
        <v>叁亿零肆佰陆拾贰万元整</v>
      </c>
      <c r="E20" s="1957"/>
    </row>
    <row r="21" spans="1:5" ht="15.75" thickBot="1">
      <c r="A21" s="1957"/>
      <c r="B21" s="3084"/>
      <c r="C21" s="1967" t="s">
        <v>1629</v>
      </c>
      <c r="D21" s="1053">
        <f ca="1">结果表!H112</f>
        <v>7973</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90" zoomScaleNormal="70" zoomScaleSheetLayoutView="90" workbookViewId="0">
      <selection activeCell="D24" sqref="D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3764</v>
      </c>
      <c r="D1" s="1819" t="s">
        <v>3825</v>
      </c>
      <c r="E1" s="1820" t="s">
        <v>1382</v>
      </c>
      <c r="F1" s="1283">
        <f ca="1">J53</f>
        <v>36.21</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11788</v>
      </c>
      <c r="C2" s="1844" t="s">
        <v>1511</v>
      </c>
      <c r="D2" s="1844"/>
      <c r="E2" s="1845"/>
      <c r="F2" s="1846"/>
      <c r="G2" s="1847"/>
      <c r="H2" s="1839"/>
      <c r="I2" s="1839"/>
      <c r="J2" s="1839"/>
      <c r="K2" s="1840"/>
      <c r="L2" s="1839"/>
      <c r="M2" s="1839"/>
    </row>
    <row r="3" spans="1:37" ht="18" customHeight="1" thickBot="1">
      <c r="A3" s="1848" t="s">
        <v>1512</v>
      </c>
      <c r="B3" s="1849">
        <f ca="1">IF(ISERROR(B2*10000/F43),0,ROUND(B2*10000/F43,0))</f>
        <v>16018</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782</v>
      </c>
      <c r="D5" s="1821" t="s">
        <v>1397</v>
      </c>
      <c r="E5" s="1293"/>
      <c r="F5" s="1294"/>
      <c r="G5" s="1850"/>
      <c r="H5" s="344">
        <v>1</v>
      </c>
      <c r="I5" s="345" t="s">
        <v>1396</v>
      </c>
      <c r="J5" s="1292">
        <f ca="1">J6+J10+J12</f>
        <v>0</v>
      </c>
      <c r="K5" s="1821" t="s">
        <v>1397</v>
      </c>
      <c r="L5" s="1293"/>
      <c r="M5" s="1294"/>
    </row>
    <row r="6" spans="1:37" ht="18" customHeight="1">
      <c r="A6" s="1291" t="s">
        <v>1032</v>
      </c>
      <c r="B6" s="3375" t="s">
        <v>1398</v>
      </c>
      <c r="C6" s="1296">
        <f ca="1">ROUND(F6*F8*F7*(1-F9)/10000,0)</f>
        <v>781</v>
      </c>
      <c r="D6" s="164" t="s">
        <v>3014</v>
      </c>
      <c r="E6" s="347" t="s">
        <v>1400</v>
      </c>
      <c r="F6" s="348">
        <f ca="1">INDIRECT("'数据-取费表'!u"&amp;$G$1)</f>
        <v>3.42</v>
      </c>
      <c r="G6" s="1850"/>
      <c r="H6" s="1291" t="s">
        <v>1032</v>
      </c>
      <c r="I6" s="3375" t="s">
        <v>1398</v>
      </c>
      <c r="J6" s="346">
        <f ca="1">ROUND(M6*M8*M7*(1-M9)/10000,0)</f>
        <v>0</v>
      </c>
      <c r="K6" s="164" t="s">
        <v>3013</v>
      </c>
      <c r="L6" s="347" t="s">
        <v>1400</v>
      </c>
      <c r="M6" s="348">
        <f ca="1">INDIRECT("'数据-取费表'!z"&amp;$G$1)</f>
        <v>0</v>
      </c>
    </row>
    <row r="7" spans="1:37" ht="18" customHeight="1">
      <c r="A7" s="1295"/>
      <c r="B7" s="3376"/>
      <c r="C7" s="1297"/>
      <c r="D7" s="352"/>
      <c r="E7" s="1298" t="s">
        <v>1401</v>
      </c>
      <c r="F7" s="348">
        <f ca="1">IF(INDIRECT("'数据-取费表'!ah"&amp;$G$1)="",INDIRECT("'数据-取费表'!k"&amp;$G$1),INDIRECT("'数据-取费表'!ah"&amp;$G$1))</f>
        <v>7359.24</v>
      </c>
      <c r="G7" s="1850"/>
      <c r="H7" s="349"/>
      <c r="I7" s="3376"/>
      <c r="J7" s="351"/>
      <c r="K7" s="352"/>
      <c r="L7" s="347" t="s">
        <v>1401</v>
      </c>
      <c r="M7" s="348">
        <f ca="1">F7</f>
        <v>7359.24</v>
      </c>
    </row>
    <row r="8" spans="1:37" ht="18" customHeight="1">
      <c r="A8" s="349"/>
      <c r="B8" s="3376"/>
      <c r="C8" s="351"/>
      <c r="D8" s="352"/>
      <c r="E8" s="347" t="s">
        <v>1402</v>
      </c>
      <c r="F8" s="348">
        <f ca="1">INDIRECT("'数据-取费表'!ai"&amp;$G$1)</f>
        <v>365</v>
      </c>
      <c r="G8" s="1850"/>
      <c r="H8" s="349"/>
      <c r="I8" s="3376"/>
      <c r="J8" s="351"/>
      <c r="K8" s="352"/>
      <c r="L8" s="347" t="s">
        <v>1402</v>
      </c>
      <c r="M8" s="348">
        <f ca="1">INDIRECT("'数据-取费表'!ai"&amp;$G$1)</f>
        <v>365</v>
      </c>
    </row>
    <row r="9" spans="1:37" ht="18" customHeight="1">
      <c r="A9" s="349"/>
      <c r="B9" s="3377"/>
      <c r="C9" s="351"/>
      <c r="D9" s="352"/>
      <c r="E9" s="347" t="s">
        <v>1403</v>
      </c>
      <c r="F9" s="357">
        <f ca="1">INDIRECT("'数据-取费表'!w"&amp;$G$1)</f>
        <v>0.15</v>
      </c>
      <c r="G9" s="1850"/>
      <c r="H9" s="349"/>
      <c r="I9" s="3377"/>
      <c r="J9" s="351"/>
      <c r="K9" s="352"/>
      <c r="L9" s="358" t="s">
        <v>1403</v>
      </c>
      <c r="M9" s="359">
        <f ca="1">INDIRECT("'数据-取费表'!ab"&amp;$G$1)</f>
        <v>0</v>
      </c>
    </row>
    <row r="10" spans="1:37" ht="18" customHeight="1">
      <c r="A10" s="1291" t="s">
        <v>1036</v>
      </c>
      <c r="B10" s="1822" t="s">
        <v>1404</v>
      </c>
      <c r="C10" s="361">
        <f ca="1">ROUND(IF(F10="押一",C6/12*F11,IF(F10="押二",C6/12*2*F11,IF(F10="押三",C6/12*3*F11,C11*F11))),0)</f>
        <v>1</v>
      </c>
      <c r="D10" s="1823" t="s">
        <v>3023</v>
      </c>
      <c r="E10" s="358" t="s">
        <v>1405</v>
      </c>
      <c r="F10" s="1366" t="s">
        <v>3826</v>
      </c>
      <c r="G10" s="1850"/>
      <c r="H10" s="1291" t="s">
        <v>1036</v>
      </c>
      <c r="I10" s="1822" t="s">
        <v>1404</v>
      </c>
      <c r="J10" s="346">
        <f ca="1">ROUND(IF(M10="押一",J6/12*M11,IF(M10="押二",J6/12*2*M11,IF(M10="押三",J6/12*3*M11,J11*M11))),0)</f>
        <v>0</v>
      </c>
      <c r="K10" s="1823" t="s">
        <v>3022</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2858</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1840</v>
      </c>
      <c r="D14" s="1799" t="s">
        <v>1413</v>
      </c>
      <c r="E14" s="1793"/>
      <c r="F14" s="364"/>
      <c r="G14" s="1850"/>
      <c r="H14" s="1201" t="s">
        <v>1032</v>
      </c>
      <c r="I14" s="347" t="s">
        <v>1414</v>
      </c>
      <c r="J14" s="24">
        <f ca="1">C29</f>
        <v>2858</v>
      </c>
      <c r="K14" s="15"/>
      <c r="L14" s="979"/>
      <c r="M14" s="980"/>
    </row>
    <row r="15" spans="1:37" s="1857" customFormat="1" ht="18" customHeight="1" thickBot="1">
      <c r="A15" s="1201" t="s">
        <v>1033</v>
      </c>
      <c r="B15" s="347" t="s">
        <v>1415</v>
      </c>
      <c r="C15" s="24">
        <f ca="1">ROUND(C14*F15,0)</f>
        <v>55</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70</v>
      </c>
      <c r="K16" s="1337" t="s">
        <v>1420</v>
      </c>
      <c r="L16" s="1338"/>
      <c r="M16" s="1294"/>
    </row>
    <row r="17" spans="1:37" s="1857" customFormat="1" ht="18" customHeight="1">
      <c r="A17" s="1201" t="s">
        <v>1385</v>
      </c>
      <c r="B17" s="347" t="s">
        <v>1421</v>
      </c>
      <c r="C17" s="24">
        <f ca="1">ROUND(F17*(F43+INDIRECT("'数据-取费表'!S"&amp;$G$1))/10000,0)</f>
        <v>147</v>
      </c>
      <c r="D17" s="347" t="s">
        <v>1422</v>
      </c>
      <c r="E17" s="347" t="s">
        <v>1423</v>
      </c>
      <c r="F17" s="26">
        <f>'数据-取费表'!B35</f>
        <v>200</v>
      </c>
      <c r="G17" s="1853"/>
      <c r="H17" s="1201" t="s">
        <v>1032</v>
      </c>
      <c r="I17" s="347" t="s">
        <v>1424</v>
      </c>
      <c r="J17" s="24">
        <f ca="1">ROUND(IF(项目基本情况!B11="自然人",J6*M17/(1+'数据-取费表'!C42),J18+J19+J20),1)</f>
        <v>26.6</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28</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5.6500000000000002E-2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2070</v>
      </c>
      <c r="D19" s="140" t="s">
        <v>1431</v>
      </c>
      <c r="E19" s="1817"/>
      <c r="F19" s="26"/>
      <c r="G19" s="1850"/>
      <c r="H19" s="1201" t="s">
        <v>1033</v>
      </c>
      <c r="I19" s="347" t="s">
        <v>1432</v>
      </c>
      <c r="J19" s="24">
        <f ca="1">IF(K19="按租金收入计税",ROUND(J6*M19/(1+'数据-取费表'!C42),2),ROUND(C29*M19*0.7,2))</f>
        <v>24.01</v>
      </c>
      <c r="K19" s="1827" t="s">
        <v>1433</v>
      </c>
      <c r="L19" s="347" t="s">
        <v>1417</v>
      </c>
      <c r="M19" s="367">
        <f>IF(K19="按租金收入计税",'数据-取费表'!B51,'数据-取费表'!B50)</f>
        <v>1.2E-2</v>
      </c>
    </row>
    <row r="20" spans="1:37" s="1857" customFormat="1" ht="18" customHeight="1">
      <c r="A20" s="1201" t="s">
        <v>1036</v>
      </c>
      <c r="B20" s="347" t="s">
        <v>1434</v>
      </c>
      <c r="C20" s="24">
        <f ca="1">ROUND(C19*F20,0)</f>
        <v>41</v>
      </c>
      <c r="D20" s="369" t="s">
        <v>1435</v>
      </c>
      <c r="E20" s="347" t="s">
        <v>1417</v>
      </c>
      <c r="F20" s="367">
        <f>'数据-取费表'!B37</f>
        <v>0.02</v>
      </c>
      <c r="G20" s="1853"/>
      <c r="H20" s="1201" t="s">
        <v>1384</v>
      </c>
      <c r="I20" s="164" t="s">
        <v>1436</v>
      </c>
      <c r="J20" s="25">
        <f ca="1">ROUND(M20*M21/10000,2)</f>
        <v>2.6</v>
      </c>
      <c r="K20" s="370" t="s">
        <v>1437</v>
      </c>
      <c r="L20" s="347" t="s">
        <v>1438</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2598.75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42.9</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-70</v>
      </c>
      <c r="K25" s="1345" t="s">
        <v>1459</v>
      </c>
      <c r="L25" s="1346"/>
      <c r="M25" s="1347"/>
    </row>
    <row r="26" spans="1:37">
      <c r="A26" s="1201" t="s">
        <v>1031</v>
      </c>
      <c r="B26" s="347" t="s">
        <v>1460</v>
      </c>
      <c r="C26" s="24">
        <f ca="1">ROUND((C19+C20)*F26,0)</f>
        <v>422</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5.3800000000000001E-2</v>
      </c>
      <c r="D28" s="369" t="s">
        <v>1471</v>
      </c>
      <c r="E28" s="347" t="s">
        <v>1417</v>
      </c>
      <c r="F28" s="367">
        <f>'数据-取费表'!B41</f>
        <v>5.6500000000000002E-2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2858</v>
      </c>
      <c r="D29" s="1342"/>
      <c r="E29" s="1340"/>
      <c r="F29" s="1343"/>
      <c r="G29" s="1853"/>
      <c r="H29" s="380" t="s">
        <v>1030</v>
      </c>
      <c r="I29" s="381" t="s">
        <v>1474</v>
      </c>
      <c r="J29" s="382">
        <f ca="1">ROUND(J26/(1+F40)^F41,0)</f>
        <v>0</v>
      </c>
      <c r="K29" s="383" t="s">
        <v>1475</v>
      </c>
      <c r="L29" s="384"/>
      <c r="M29" s="385">
        <f ca="1">INDIRECT("'数据-取费表'!k"&amp;$G$1)</f>
        <v>7359.24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197</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133.9</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42.03</v>
      </c>
      <c r="D32" s="1797" t="s">
        <v>1429</v>
      </c>
      <c r="E32" s="347" t="s">
        <v>1417</v>
      </c>
      <c r="F32" s="377">
        <f>'数据-取费表'!B41</f>
        <v>5.6500000000000002E-2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89.26</v>
      </c>
      <c r="D33" s="1827" t="s">
        <v>3827</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2.6</v>
      </c>
      <c r="D34" s="370" t="s">
        <v>1437</v>
      </c>
      <c r="E34" s="347" t="s">
        <v>1438</v>
      </c>
      <c r="F34" s="371">
        <f>'数据-取费表'!B52</f>
        <v>10</v>
      </c>
      <c r="G34" s="1850"/>
      <c r="H34" s="745"/>
      <c r="I34" s="1859"/>
      <c r="J34" s="1860"/>
      <c r="K34" s="1862"/>
      <c r="L34" s="1863"/>
      <c r="M34" s="1863"/>
    </row>
    <row r="35" spans="1:18" ht="18" customHeight="1">
      <c r="A35" s="1353"/>
      <c r="B35" s="1351"/>
      <c r="C35" s="29"/>
      <c r="D35" s="373"/>
      <c r="E35" s="347" t="s">
        <v>1442</v>
      </c>
      <c r="F35" s="348">
        <f ca="1">INDIRECT("'数据-取费表'!r"&amp;$G$1)</f>
        <v>2598.75</v>
      </c>
      <c r="G35" s="1850"/>
      <c r="H35" s="745"/>
      <c r="I35" s="1859"/>
      <c r="J35" s="1860"/>
      <c r="K35" s="1861"/>
      <c r="L35" s="1858"/>
      <c r="M35" s="1858"/>
    </row>
    <row r="36" spans="1:18" ht="18" customHeight="1">
      <c r="A36" s="1352" t="s">
        <v>1036</v>
      </c>
      <c r="B36" s="347" t="s">
        <v>1444</v>
      </c>
      <c r="C36" s="24">
        <f ca="1">ROUND(C29*F36,1)</f>
        <v>42.9</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4.3</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15.6</v>
      </c>
      <c r="D38" s="1342" t="s">
        <v>1454</v>
      </c>
      <c r="E38" s="1340" t="s">
        <v>1450</v>
      </c>
      <c r="F38" s="1336">
        <f ca="1">INDIRECT("'数据-取费表'!Am"&amp;$G$1)</f>
        <v>0.02</v>
      </c>
      <c r="G38" s="1850"/>
      <c r="H38" s="1858"/>
      <c r="I38" s="1859"/>
      <c r="J38" s="1860"/>
      <c r="K38" s="1864"/>
      <c r="L38" s="1858"/>
      <c r="M38" s="1858"/>
    </row>
    <row r="39" spans="1:18" ht="24.6" customHeight="1" thickTop="1">
      <c r="A39" s="1329" t="s">
        <v>1028</v>
      </c>
      <c r="B39" s="1344" t="s">
        <v>1478</v>
      </c>
      <c r="C39" s="355">
        <f ca="1">C5-C30</f>
        <v>585</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11788</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36.21</v>
      </c>
      <c r="G41" s="1850"/>
      <c r="H41" s="732"/>
      <c r="I41" s="1859"/>
      <c r="J41" s="1860"/>
      <c r="K41" s="751"/>
      <c r="L41" s="732"/>
      <c r="M41" s="732"/>
    </row>
    <row r="42" spans="1:18" ht="18" customHeight="1">
      <c r="A42" s="353"/>
      <c r="B42" s="354"/>
      <c r="C42" s="355"/>
      <c r="D42" s="373"/>
      <c r="E42" s="347" t="s">
        <v>1472</v>
      </c>
      <c r="F42" s="357">
        <f ca="1">INDIRECT("'数据-取费表'!v"&amp;$G$1)</f>
        <v>0.02</v>
      </c>
      <c r="G42" s="1850"/>
      <c r="H42" s="732"/>
      <c r="I42" s="1859"/>
      <c r="J42" s="1860"/>
      <c r="K42" s="751"/>
      <c r="L42" s="732"/>
      <c r="M42" s="732"/>
    </row>
    <row r="43" spans="1:18" ht="18" customHeight="1" thickBot="1">
      <c r="A43" s="380" t="s">
        <v>1030</v>
      </c>
      <c r="B43" s="381" t="s">
        <v>1482</v>
      </c>
      <c r="C43" s="382">
        <f ca="1">ROUND(C40*10000/F43,0)</f>
        <v>16018</v>
      </c>
      <c r="D43" s="383" t="s">
        <v>1483</v>
      </c>
      <c r="E43" s="384" t="s">
        <v>1484</v>
      </c>
      <c r="F43" s="385">
        <f ca="1">INDIRECT("'数据-取费表'!k"&amp;$G$1)</f>
        <v>7359.24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-16302</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3046</v>
      </c>
      <c r="K47" s="1881" t="s">
        <v>1522</v>
      </c>
      <c r="L47" s="1882">
        <f ca="1">INDIRECT("'数据-取费表'!d"&amp;$G$1)</f>
        <v>40</v>
      </c>
      <c r="M47" s="1837" t="str">
        <f>IF(ISNUMBER(FIND("住宅",C1)),"住宅","非住宅")</f>
        <v>非住宅</v>
      </c>
      <c r="O47" s="1883" t="s">
        <v>1037</v>
      </c>
      <c r="P47" s="1884" t="s">
        <v>1523</v>
      </c>
      <c r="Q47" s="1885">
        <f ca="1">C40+J29</f>
        <v>11788</v>
      </c>
      <c r="R47" s="1885" t="s">
        <v>1524</v>
      </c>
    </row>
    <row r="48" spans="1:18" s="1841" customFormat="1" ht="28.5" thickBot="1">
      <c r="A48" s="1360" t="s">
        <v>1132</v>
      </c>
      <c r="B48" s="345" t="s">
        <v>1396</v>
      </c>
      <c r="C48" s="1816">
        <f ca="1">C49+C53+C55</f>
        <v>0</v>
      </c>
      <c r="D48" s="1362"/>
      <c r="E48" s="1363"/>
      <c r="F48" s="1181"/>
      <c r="G48" s="792"/>
      <c r="H48" s="793"/>
      <c r="I48" s="1886" t="s">
        <v>1525</v>
      </c>
      <c r="J48" s="1887" t="s">
        <v>3049</v>
      </c>
      <c r="K48" s="1888" t="s">
        <v>1526</v>
      </c>
      <c r="L48" s="1889">
        <f ca="1">INDIRECT("'数据-取费表'!f"&amp;$G$1)</f>
        <v>37.21</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3015</v>
      </c>
      <c r="E49" s="1829" t="s">
        <v>1486</v>
      </c>
      <c r="F49" s="1281"/>
      <c r="G49" s="1890"/>
      <c r="H49" s="793"/>
      <c r="I49" s="1886" t="s">
        <v>1529</v>
      </c>
      <c r="J49" s="1891">
        <v>2018</v>
      </c>
      <c r="K49" s="1888" t="s">
        <v>1530</v>
      </c>
      <c r="L49" s="1892"/>
      <c r="O49" s="1893" t="s">
        <v>1039</v>
      </c>
      <c r="P49" s="1884" t="s">
        <v>1531</v>
      </c>
      <c r="Q49" s="1885">
        <f ca="1">C29</f>
        <v>2858</v>
      </c>
      <c r="R49" s="1885" t="s">
        <v>1524</v>
      </c>
    </row>
    <row r="50" spans="1:18" s="1841" customFormat="1" ht="13.5" thickBot="1">
      <c r="A50" s="1195"/>
      <c r="B50" s="1198"/>
      <c r="C50" s="1368"/>
      <c r="D50" s="1172"/>
      <c r="E50" s="1277" t="s">
        <v>1401</v>
      </c>
      <c r="F50" s="1278">
        <f ca="1">F7</f>
        <v>7359.24</v>
      </c>
      <c r="H50" s="793"/>
      <c r="I50" s="1886" t="s">
        <v>1532</v>
      </c>
      <c r="J50" s="1894">
        <f>SUMPRODUCT((I63:I65=J47)*(J62:L62=J48)*(J63:L65))</f>
        <v>80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365</v>
      </c>
      <c r="I51" s="1897" t="s">
        <v>1535</v>
      </c>
      <c r="J51" s="1898">
        <f>IF(J49="",J50,J49+J50-YEAR('数据-取费表'!B2))</f>
        <v>79</v>
      </c>
      <c r="K51" s="1899" t="s">
        <v>1536</v>
      </c>
      <c r="L51" s="1900">
        <f ca="1">ROUND(-PV(INDIRECT("'数据-取费表'!h"&amp;$G$1),L48,(C39-C13*C76),0),0)</f>
        <v>5728</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36.21</v>
      </c>
      <c r="R52" s="1885" t="s">
        <v>1541</v>
      </c>
    </row>
    <row r="53" spans="1:18" s="1841" customFormat="1" ht="24.75" thickBot="1">
      <c r="A53" s="1405" t="s">
        <v>1134</v>
      </c>
      <c r="B53" s="1830" t="s">
        <v>1404</v>
      </c>
      <c r="C53" s="361">
        <f ca="1">ROUND(IF(F53="押一",C49/12*F11,IF(F53="押二",C49/12*2*F11,IF(F53="押三",C49/12*3*F11,C54*F11))),0)</f>
        <v>0</v>
      </c>
      <c r="D53" s="1823" t="s">
        <v>3022</v>
      </c>
      <c r="E53" s="358" t="s">
        <v>1405</v>
      </c>
      <c r="F53" s="1366"/>
      <c r="I53" s="1904" t="s">
        <v>1542</v>
      </c>
      <c r="J53" s="2945">
        <f ca="1">IF(M47="住宅",IF(D1="——",MAX(J51,L48),MAX(J51,L48-'数据-取费表'!B24)),IF(D1="——",MIN(J51,L48),MIN(J51,L48-'数据-取费表'!B24)))</f>
        <v>36.21</v>
      </c>
      <c r="K53" s="3378" t="s">
        <v>1543</v>
      </c>
      <c r="L53" s="3379"/>
      <c r="O53" s="1883" t="s">
        <v>1043</v>
      </c>
      <c r="P53" s="1884" t="s">
        <v>1544</v>
      </c>
      <c r="Q53" s="1885">
        <f ca="1">Q47+Q48</f>
        <v>11788</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2858</v>
      </c>
      <c r="D56" s="1912"/>
      <c r="E56" s="1913"/>
      <c r="F56" s="1905"/>
      <c r="I56" s="1914" t="s">
        <v>1549</v>
      </c>
      <c r="J56" s="1915" t="s">
        <v>3045</v>
      </c>
      <c r="K56" s="1886" t="s">
        <v>1550</v>
      </c>
      <c r="L56" s="1889" t="str">
        <f ca="1">IF(L48&lt;J51,"——",L48-J53)</f>
        <v>——</v>
      </c>
      <c r="O56" s="1883" t="s">
        <v>1037</v>
      </c>
      <c r="P56" s="1884" t="s">
        <v>1523</v>
      </c>
      <c r="Q56" s="1885">
        <f ca="1">C40+J29</f>
        <v>11788</v>
      </c>
      <c r="R56" s="1885" t="s">
        <v>1524</v>
      </c>
    </row>
    <row r="57" spans="1:18" s="1841" customFormat="1" ht="24.75" thickBot="1">
      <c r="A57" s="1916"/>
      <c r="B57" s="1169" t="s">
        <v>1473</v>
      </c>
      <c r="C57" s="282">
        <f ca="1">C29</f>
        <v>2858</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290</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242.7</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5.6500000000000002E-2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240.07</v>
      </c>
      <c r="D61" s="1827" t="s">
        <v>1433</v>
      </c>
      <c r="E61" s="1169" t="s">
        <v>1489</v>
      </c>
      <c r="F61" s="367">
        <f t="shared" si="0"/>
        <v>0.12</v>
      </c>
      <c r="I61" s="1926"/>
      <c r="J61" s="1926"/>
      <c r="K61" s="1926"/>
      <c r="L61" s="1926"/>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2.6</v>
      </c>
      <c r="D62" s="1184" t="s">
        <v>1492</v>
      </c>
      <c r="E62" s="1169" t="s">
        <v>1493</v>
      </c>
      <c r="F62" s="371">
        <f t="shared" si="0"/>
        <v>10</v>
      </c>
      <c r="I62" s="1927" t="s">
        <v>1565</v>
      </c>
      <c r="J62" s="1928" t="s">
        <v>1566</v>
      </c>
      <c r="K62" s="1928" t="s">
        <v>1567</v>
      </c>
      <c r="L62" s="1928" t="s">
        <v>1568</v>
      </c>
      <c r="M62" s="1929" t="s">
        <v>1569</v>
      </c>
      <c r="O62" s="1883" t="s">
        <v>1043</v>
      </c>
      <c r="P62" s="1884" t="s">
        <v>1570</v>
      </c>
      <c r="Q62" s="1885">
        <f ca="1">Q56+Q57</f>
        <v>11788</v>
      </c>
      <c r="R62" s="1885" t="s">
        <v>1044</v>
      </c>
    </row>
    <row r="63" spans="1:18" s="1841" customFormat="1" ht="13.5" thickBot="1">
      <c r="A63" s="372"/>
      <c r="B63" s="1175"/>
      <c r="C63" s="29"/>
      <c r="D63" s="1185"/>
      <c r="E63" s="1169" t="s">
        <v>1494</v>
      </c>
      <c r="F63" s="348">
        <f t="shared" ca="1" si="0"/>
        <v>2598.75</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42.9</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4.3</v>
      </c>
      <c r="D65" s="1183" t="s">
        <v>1449</v>
      </c>
      <c r="E65" s="1169" t="s">
        <v>1450</v>
      </c>
      <c r="F65" s="376">
        <f t="shared" ca="1" si="0"/>
        <v>1.5E-3</v>
      </c>
      <c r="I65" s="1927" t="s">
        <v>1574</v>
      </c>
      <c r="J65" s="1928">
        <v>40</v>
      </c>
      <c r="K65" s="1928">
        <v>30</v>
      </c>
      <c r="L65" s="1928">
        <v>50</v>
      </c>
      <c r="M65" s="1930">
        <v>0.02</v>
      </c>
      <c r="O65" s="1883" t="s">
        <v>1037</v>
      </c>
      <c r="P65" s="1884" t="s">
        <v>1575</v>
      </c>
      <c r="Q65" s="1885">
        <f ca="1">C40+J29</f>
        <v>11788</v>
      </c>
      <c r="R65" s="1885" t="s">
        <v>1524</v>
      </c>
    </row>
    <row r="66" spans="1:18" s="1841" customFormat="1" ht="16.5" thickBot="1">
      <c r="A66" s="1201" t="s">
        <v>1499</v>
      </c>
      <c r="B66" s="1169" t="s">
        <v>1434</v>
      </c>
      <c r="C66" s="24">
        <f ca="1">ROUND(C48*F66,1)</f>
        <v>0</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-290</v>
      </c>
      <c r="D67" s="1182" t="s">
        <v>1459</v>
      </c>
      <c r="E67" s="1187"/>
      <c r="F67" s="1188"/>
      <c r="O67" s="1893" t="s">
        <v>1039</v>
      </c>
      <c r="P67" s="1884" t="s">
        <v>1557</v>
      </c>
      <c r="Q67" s="1931">
        <f ca="1">L51</f>
        <v>5728</v>
      </c>
      <c r="R67" s="1885" t="s">
        <v>1577</v>
      </c>
    </row>
    <row r="68" spans="1:18" s="1841" customFormat="1" ht="16.5" thickBot="1">
      <c r="A68" s="1166" t="s">
        <v>1029</v>
      </c>
      <c r="B68" s="1167" t="s">
        <v>1480</v>
      </c>
      <c r="C68" s="346">
        <f ca="1">ROUND(C67*(1-((1+F70)/(1+F68))^F69)/(F68-F70),0)</f>
        <v>-4514</v>
      </c>
      <c r="D68" s="1184" t="s">
        <v>1464</v>
      </c>
      <c r="E68" s="1169" t="s">
        <v>1465</v>
      </c>
      <c r="F68" s="357">
        <f ca="1">F40</f>
        <v>5.5E-2</v>
      </c>
      <c r="O68" s="1893" t="s">
        <v>1040</v>
      </c>
      <c r="P68" s="1932" t="s">
        <v>1578</v>
      </c>
      <c r="Q68" s="1885">
        <f ca="1">ROUND(Q69-Q70*Q71,0)</f>
        <v>342</v>
      </c>
      <c r="R68" s="1885" t="s">
        <v>1048</v>
      </c>
    </row>
    <row r="69" spans="1:18" s="1841" customFormat="1" ht="13.5" thickBot="1">
      <c r="A69" s="1170"/>
      <c r="B69" s="1171"/>
      <c r="C69" s="351"/>
      <c r="D69" s="1189" t="s">
        <v>1468</v>
      </c>
      <c r="E69" s="1169" t="s">
        <v>1469</v>
      </c>
      <c r="F69" s="379">
        <f ca="1">F41</f>
        <v>36.21</v>
      </c>
      <c r="O69" s="1893" t="s">
        <v>1045</v>
      </c>
      <c r="P69" s="1932" t="s">
        <v>1579</v>
      </c>
      <c r="Q69" s="1885">
        <f ca="1">C39</f>
        <v>585</v>
      </c>
      <c r="R69" s="1885" t="s">
        <v>1524</v>
      </c>
    </row>
    <row r="70" spans="1:18" s="1841" customFormat="1" ht="13.5" thickBot="1">
      <c r="A70" s="1173"/>
      <c r="B70" s="1174"/>
      <c r="C70" s="355"/>
      <c r="D70" s="1185"/>
      <c r="E70" s="1169" t="s">
        <v>1472</v>
      </c>
      <c r="F70" s="1275"/>
      <c r="O70" s="1893" t="s">
        <v>1046</v>
      </c>
      <c r="P70" s="1932" t="s">
        <v>1580</v>
      </c>
      <c r="Q70" s="1885">
        <f ca="1">C13</f>
        <v>2858</v>
      </c>
      <c r="R70" s="1885" t="s">
        <v>1524</v>
      </c>
    </row>
    <row r="71" spans="1:18" s="1841" customFormat="1" ht="13.5" thickBot="1">
      <c r="A71" s="1190" t="s">
        <v>1030</v>
      </c>
      <c r="B71" s="1191" t="s">
        <v>1482</v>
      </c>
      <c r="C71" s="382">
        <f ca="1">ROUND(C68*10000/F71,0)</f>
        <v>-6134</v>
      </c>
      <c r="D71" s="1192" t="s">
        <v>1483</v>
      </c>
      <c r="E71" s="1193" t="s">
        <v>1484</v>
      </c>
      <c r="F71" s="385">
        <f ca="1">F43</f>
        <v>7359.24</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243</v>
      </c>
      <c r="D75" s="1841"/>
      <c r="E75" s="1841"/>
      <c r="F75" s="1841"/>
      <c r="K75" s="1867"/>
      <c r="L75" s="1841"/>
      <c r="O75" s="1883" t="s">
        <v>1043</v>
      </c>
      <c r="P75" s="1884" t="s">
        <v>1544</v>
      </c>
      <c r="Q75" s="1885">
        <f ca="1">Q65+Q66</f>
        <v>11788</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0.58499999999999996</v>
      </c>
    </row>
    <row r="80" spans="1:18">
      <c r="B80" s="386" t="s">
        <v>1506</v>
      </c>
      <c r="C80" s="318">
        <f ca="1">ROUND(C75/C39,3)</f>
        <v>0.41499999999999998</v>
      </c>
    </row>
    <row r="81" spans="2:3">
      <c r="B81" s="314" t="s">
        <v>1507</v>
      </c>
      <c r="C81" s="282"/>
    </row>
    <row r="82" spans="2:3">
      <c r="B82" s="317" t="s">
        <v>1508</v>
      </c>
      <c r="C82" s="319">
        <f ca="1">1-C83</f>
        <v>0.75800000000000001</v>
      </c>
    </row>
    <row r="83" spans="2:3">
      <c r="B83" s="317" t="s">
        <v>1509</v>
      </c>
      <c r="C83" s="318">
        <f ca="1">ROUND(C13/C40,3)</f>
        <v>0.24199999999999999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3" priority="56">
      <formula>$L$48&gt;$J$51</formula>
    </cfRule>
  </conditionalFormatting>
  <conditionalFormatting sqref="I55 I60">
    <cfRule type="expression" dxfId="22" priority="57">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346" t="s">
        <v>2631</v>
      </c>
      <c r="D4" s="3347"/>
      <c r="E4" s="3348" t="s">
        <v>2632</v>
      </c>
      <c r="F4" s="3349"/>
      <c r="G4" s="3346" t="s">
        <v>2633</v>
      </c>
      <c r="H4" s="3347"/>
      <c r="I4" s="3346" t="s">
        <v>2634</v>
      </c>
      <c r="J4" s="3347"/>
      <c r="K4" s="610" t="s">
        <v>2635</v>
      </c>
      <c r="L4" s="1130"/>
      <c r="M4" s="1131"/>
      <c r="N4" s="1131"/>
      <c r="O4" s="1131"/>
      <c r="P4" s="3350" t="s">
        <v>2636</v>
      </c>
      <c r="Q4" s="3351"/>
      <c r="R4" s="3333" t="s">
        <v>2632</v>
      </c>
      <c r="S4" s="3334"/>
      <c r="T4" s="3333" t="s">
        <v>2633</v>
      </c>
      <c r="U4" s="3334"/>
      <c r="V4" s="3358" t="s">
        <v>2634</v>
      </c>
      <c r="W4" s="3358"/>
      <c r="X4" s="1812"/>
      <c r="Y4" s="3333" t="s">
        <v>2636</v>
      </c>
      <c r="Z4" s="3334"/>
      <c r="AA4" s="3328" t="s">
        <v>2632</v>
      </c>
      <c r="AB4" s="3329" t="s">
        <v>2633</v>
      </c>
      <c r="AC4" s="3328" t="s">
        <v>2634</v>
      </c>
    </row>
    <row r="5" spans="1:29" ht="15">
      <c r="A5" s="404"/>
      <c r="B5" s="405"/>
      <c r="C5" s="3339" t="s">
        <v>2528</v>
      </c>
      <c r="D5" s="3340"/>
      <c r="E5" s="3337" t="s">
        <v>2529</v>
      </c>
      <c r="F5" s="3338"/>
      <c r="G5" s="3339" t="s">
        <v>2530</v>
      </c>
      <c r="H5" s="3340"/>
      <c r="I5" s="3339" t="s">
        <v>2531</v>
      </c>
      <c r="J5" s="3340"/>
      <c r="K5" s="610"/>
      <c r="L5" s="1130"/>
      <c r="M5" s="1131"/>
      <c r="N5" s="1131"/>
      <c r="O5" s="1131"/>
      <c r="P5" s="3352"/>
      <c r="Q5" s="3353"/>
      <c r="R5" s="3335"/>
      <c r="S5" s="3336"/>
      <c r="T5" s="3335"/>
      <c r="U5" s="3336"/>
      <c r="V5" s="3358"/>
      <c r="W5" s="3358"/>
      <c r="X5" s="1812"/>
      <c r="Y5" s="3335"/>
      <c r="Z5" s="3336"/>
      <c r="AA5" s="3329"/>
      <c r="AB5" s="3329"/>
      <c r="AC5" s="3329"/>
    </row>
    <row r="6" spans="1:29" ht="15.75" thickBot="1">
      <c r="A6" s="406"/>
      <c r="B6" s="407"/>
      <c r="C6" s="3427" t="s">
        <v>2781</v>
      </c>
      <c r="D6" s="3428"/>
      <c r="E6" s="3429" t="s">
        <v>2781</v>
      </c>
      <c r="F6" s="3430"/>
      <c r="G6" s="3427" t="s">
        <v>2781</v>
      </c>
      <c r="H6" s="3428"/>
      <c r="I6" s="3427" t="s">
        <v>2781</v>
      </c>
      <c r="J6" s="3428"/>
      <c r="K6" s="610" t="s">
        <v>2533</v>
      </c>
      <c r="L6" s="1130"/>
      <c r="M6" s="1131"/>
      <c r="N6" s="1131"/>
      <c r="O6" s="1131"/>
      <c r="P6" s="3354"/>
      <c r="Q6" s="3355"/>
      <c r="R6" s="3335"/>
      <c r="S6" s="3336"/>
      <c r="T6" s="3356"/>
      <c r="U6" s="3357"/>
      <c r="V6" s="3358"/>
      <c r="W6" s="3358"/>
      <c r="X6" s="1812"/>
      <c r="Y6" s="3356"/>
      <c r="Z6" s="3357"/>
      <c r="AA6" s="3330"/>
      <c r="AB6" s="3330"/>
      <c r="AC6" s="3330"/>
    </row>
    <row r="7" spans="1:29" s="117" customFormat="1" ht="15.75" thickBot="1">
      <c r="A7" s="408" t="s">
        <v>2534</v>
      </c>
      <c r="B7" s="409"/>
      <c r="C7" s="410">
        <f>'数据-取费表'!B2</f>
        <v>43755</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331" t="s">
        <v>2535</v>
      </c>
      <c r="Q7" s="3359"/>
      <c r="R7" s="770" t="s">
        <v>17</v>
      </c>
      <c r="S7" s="771">
        <f t="shared" ref="S7:S15" si="0">F7</f>
        <v>0</v>
      </c>
      <c r="T7" s="770" t="s">
        <v>17</v>
      </c>
      <c r="U7" s="771">
        <f t="shared" ref="U7:U15" si="1">H7</f>
        <v>0</v>
      </c>
      <c r="V7" s="770" t="s">
        <v>17</v>
      </c>
      <c r="W7" s="771">
        <f t="shared" ref="W7:W15" si="2">J7</f>
        <v>0</v>
      </c>
      <c r="X7" s="772"/>
      <c r="Y7" s="3331" t="s">
        <v>2535</v>
      </c>
      <c r="Z7" s="3332"/>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31" t="s">
        <v>2538</v>
      </c>
      <c r="Q8" s="3332"/>
      <c r="R8" s="770" t="s">
        <v>17</v>
      </c>
      <c r="S8" s="771">
        <f t="shared" si="0"/>
        <v>0</v>
      </c>
      <c r="T8" s="770" t="s">
        <v>17</v>
      </c>
      <c r="U8" s="771">
        <f t="shared" si="1"/>
        <v>0</v>
      </c>
      <c r="V8" s="770" t="s">
        <v>17</v>
      </c>
      <c r="W8" s="771">
        <f t="shared" si="2"/>
        <v>0</v>
      </c>
      <c r="X8" s="772"/>
      <c r="Y8" s="3331" t="s">
        <v>2538</v>
      </c>
      <c r="Z8" s="3332"/>
      <c r="AA8" s="773" t="e">
        <f t="shared" ref="AA8:AA40" si="3">D8/F8</f>
        <v>#DIV/0!</v>
      </c>
      <c r="AB8" s="773" t="e">
        <f t="shared" ref="AB8:AB40" si="4">D8/H8</f>
        <v>#DIV/0!</v>
      </c>
      <c r="AC8" s="773"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345" t="s">
        <v>2541</v>
      </c>
      <c r="Q9" s="1794" t="str">
        <f t="shared" ref="Q9:Q15" si="6">B9</f>
        <v>用途</v>
      </c>
      <c r="R9" s="770" t="s">
        <v>17</v>
      </c>
      <c r="S9" s="771">
        <f t="shared" si="0"/>
        <v>100</v>
      </c>
      <c r="T9" s="770" t="s">
        <v>17</v>
      </c>
      <c r="U9" s="771">
        <f t="shared" si="1"/>
        <v>100</v>
      </c>
      <c r="V9" s="770" t="s">
        <v>17</v>
      </c>
      <c r="W9" s="771">
        <f t="shared" si="2"/>
        <v>100</v>
      </c>
      <c r="X9" s="772"/>
      <c r="Y9" s="3147"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345"/>
      <c r="Q10" s="1794" t="str">
        <f t="shared" si="6"/>
        <v>土地使用年限（年）</v>
      </c>
      <c r="R10" s="770" t="s">
        <v>17</v>
      </c>
      <c r="S10" s="771">
        <f t="shared" si="0"/>
        <v>101</v>
      </c>
      <c r="T10" s="770" t="s">
        <v>17</v>
      </c>
      <c r="U10" s="771">
        <f t="shared" si="1"/>
        <v>101</v>
      </c>
      <c r="V10" s="770" t="s">
        <v>17</v>
      </c>
      <c r="W10" s="771">
        <f t="shared" si="2"/>
        <v>101</v>
      </c>
      <c r="X10" s="772"/>
      <c r="Y10" s="3147"/>
      <c r="Z10" s="55" t="str">
        <f t="shared" si="7"/>
        <v>土地使用年限（年）</v>
      </c>
      <c r="AA10" s="773">
        <f t="shared" si="3"/>
        <v>0.99009900990099009</v>
      </c>
      <c r="AB10" s="773">
        <f t="shared" si="4"/>
        <v>0.99009900990099009</v>
      </c>
      <c r="AC10" s="773">
        <f t="shared" si="5"/>
        <v>0.99009900990099009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45"/>
      <c r="Q11" s="1794" t="str">
        <f t="shared" si="6"/>
        <v>容积率</v>
      </c>
      <c r="R11" s="770" t="s">
        <v>17</v>
      </c>
      <c r="S11" s="771" t="e">
        <f t="shared" si="0"/>
        <v>#N/A</v>
      </c>
      <c r="T11" s="770" t="s">
        <v>17</v>
      </c>
      <c r="U11" s="771" t="e">
        <f t="shared" si="1"/>
        <v>#N/A</v>
      </c>
      <c r="V11" s="770" t="s">
        <v>17</v>
      </c>
      <c r="W11" s="771" t="e">
        <f t="shared" si="2"/>
        <v>#N/A</v>
      </c>
      <c r="X11" s="772"/>
      <c r="Y11" s="3147"/>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45"/>
      <c r="Q12" s="1794">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45"/>
      <c r="Q13" s="1794">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45"/>
      <c r="Q14" s="1794">
        <f t="shared" si="6"/>
        <v>111</v>
      </c>
      <c r="R14" s="770" t="s">
        <v>17</v>
      </c>
      <c r="S14" s="771">
        <f t="shared" si="0"/>
        <v>100</v>
      </c>
      <c r="T14" s="770" t="s">
        <v>17</v>
      </c>
      <c r="U14" s="771">
        <f t="shared" si="1"/>
        <v>100</v>
      </c>
      <c r="V14" s="770" t="s">
        <v>17</v>
      </c>
      <c r="W14" s="771">
        <f t="shared" si="2"/>
        <v>100</v>
      </c>
      <c r="X14" s="772"/>
      <c r="Y14" s="3147"/>
      <c r="Z14" s="55">
        <f t="shared" si="7"/>
        <v>111</v>
      </c>
      <c r="AA14" s="773">
        <f t="shared" si="3"/>
        <v>1</v>
      </c>
      <c r="AB14" s="773">
        <f t="shared" si="4"/>
        <v>1</v>
      </c>
      <c r="AC14" s="773">
        <f t="shared" si="5"/>
        <v>1</v>
      </c>
    </row>
    <row r="15" spans="1:29" ht="15">
      <c r="A15" s="440" t="s">
        <v>2545</v>
      </c>
      <c r="B15" s="629" t="s">
        <v>2782</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60" t="s">
        <v>2546</v>
      </c>
      <c r="Q15" s="1809" t="str">
        <f t="shared" si="6"/>
        <v>产业集聚程度</v>
      </c>
      <c r="R15" s="774" t="s">
        <v>17</v>
      </c>
      <c r="S15" s="775">
        <f t="shared" si="0"/>
        <v>100</v>
      </c>
      <c r="T15" s="774" t="s">
        <v>17</v>
      </c>
      <c r="U15" s="775">
        <f t="shared" si="1"/>
        <v>100</v>
      </c>
      <c r="V15" s="774" t="s">
        <v>17</v>
      </c>
      <c r="W15" s="775">
        <f t="shared" si="2"/>
        <v>100</v>
      </c>
      <c r="X15" s="1812"/>
      <c r="Y15" s="3360" t="s">
        <v>2546</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361"/>
      <c r="Q16" s="1809"/>
      <c r="R16" s="774"/>
      <c r="S16" s="775"/>
      <c r="T16" s="774"/>
      <c r="U16" s="775"/>
      <c r="V16" s="774"/>
      <c r="W16" s="775"/>
      <c r="X16" s="1812"/>
      <c r="Y16" s="3361"/>
      <c r="Z16" s="1813"/>
      <c r="AA16" s="1810">
        <v>1</v>
      </c>
      <c r="AB16" s="1810">
        <v>1</v>
      </c>
      <c r="AC16" s="1810">
        <v>1</v>
      </c>
    </row>
    <row r="17" spans="1:29" ht="15">
      <c r="A17" s="428"/>
      <c r="B17" s="631" t="s">
        <v>2694</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61"/>
      <c r="Q17" s="1809" t="str">
        <f>B17</f>
        <v>交通便捷度</v>
      </c>
      <c r="R17" s="774" t="s">
        <v>17</v>
      </c>
      <c r="S17" s="775">
        <f>F17</f>
        <v>100</v>
      </c>
      <c r="T17" s="774" t="s">
        <v>17</v>
      </c>
      <c r="U17" s="775">
        <f>H17</f>
        <v>100</v>
      </c>
      <c r="V17" s="774" t="s">
        <v>17</v>
      </c>
      <c r="W17" s="775">
        <f>J17</f>
        <v>100</v>
      </c>
      <c r="X17" s="1812"/>
      <c r="Y17" s="3361"/>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361"/>
      <c r="Q18" s="1809"/>
      <c r="R18" s="774"/>
      <c r="S18" s="775"/>
      <c r="T18" s="774"/>
      <c r="U18" s="775"/>
      <c r="V18" s="774"/>
      <c r="W18" s="775"/>
      <c r="X18" s="1812"/>
      <c r="Y18" s="3361"/>
      <c r="Z18" s="1813"/>
      <c r="AA18" s="1810">
        <v>1</v>
      </c>
      <c r="AB18" s="1810">
        <v>1</v>
      </c>
      <c r="AC18" s="1810">
        <v>1</v>
      </c>
    </row>
    <row r="19" spans="1:29" ht="15">
      <c r="A19" s="428"/>
      <c r="B19" s="631" t="s">
        <v>2733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61"/>
      <c r="Q19" s="1809" t="str">
        <f t="shared" ref="Q19:Q33" si="8">B19</f>
        <v>区域土地利用方向</v>
      </c>
      <c r="R19" s="774" t="s">
        <v>17</v>
      </c>
      <c r="S19" s="775">
        <f>F19</f>
        <v>100</v>
      </c>
      <c r="T19" s="774" t="s">
        <v>17</v>
      </c>
      <c r="U19" s="775">
        <f>H19</f>
        <v>100</v>
      </c>
      <c r="V19" s="774" t="s">
        <v>17</v>
      </c>
      <c r="W19" s="775">
        <f>J19</f>
        <v>100</v>
      </c>
      <c r="X19" s="1812"/>
      <c r="Y19" s="3361"/>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361"/>
      <c r="Q20" s="1809"/>
      <c r="R20" s="774"/>
      <c r="S20" s="775"/>
      <c r="T20" s="774"/>
      <c r="U20" s="775"/>
      <c r="V20" s="774"/>
      <c r="W20" s="775"/>
      <c r="X20" s="1812"/>
      <c r="Y20" s="3361"/>
      <c r="Z20" s="1813"/>
      <c r="AA20" s="1810"/>
      <c r="AB20" s="1810"/>
      <c r="AC20" s="1810"/>
    </row>
    <row r="21" spans="1:29" ht="15">
      <c r="A21" s="404"/>
      <c r="B21" s="631" t="s">
        <v>2783</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61"/>
      <c r="Q21" s="1809" t="str">
        <f t="shared" si="8"/>
        <v>环境状况</v>
      </c>
      <c r="R21" s="774" t="s">
        <v>17</v>
      </c>
      <c r="S21" s="775">
        <f>F21</f>
        <v>100</v>
      </c>
      <c r="T21" s="774" t="s">
        <v>17</v>
      </c>
      <c r="U21" s="775">
        <f>H21</f>
        <v>100</v>
      </c>
      <c r="V21" s="774" t="s">
        <v>17</v>
      </c>
      <c r="W21" s="775">
        <f>J21</f>
        <v>100</v>
      </c>
      <c r="X21" s="1812"/>
      <c r="Y21" s="3361"/>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361"/>
      <c r="Q22" s="1809"/>
      <c r="R22" s="774"/>
      <c r="S22" s="775"/>
      <c r="T22" s="774"/>
      <c r="U22" s="775"/>
      <c r="V22" s="774"/>
      <c r="W22" s="775"/>
      <c r="X22" s="1812"/>
      <c r="Y22" s="3361"/>
      <c r="Z22" s="1813"/>
      <c r="AA22" s="1810">
        <v>1</v>
      </c>
      <c r="AB22" s="1810">
        <v>1</v>
      </c>
      <c r="AC22" s="1810">
        <v>1</v>
      </c>
    </row>
    <row r="23" spans="1:29" s="117" customFormat="1" ht="15">
      <c r="A23" s="649"/>
      <c r="B23" s="633" t="s">
        <v>2639</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61"/>
      <c r="Q23" s="1794" t="str">
        <f t="shared" si="8"/>
        <v>公共配套设施</v>
      </c>
      <c r="R23" s="770" t="s">
        <v>17</v>
      </c>
      <c r="S23" s="771">
        <f>F23</f>
        <v>100</v>
      </c>
      <c r="T23" s="770" t="s">
        <v>17</v>
      </c>
      <c r="U23" s="771">
        <f>H23</f>
        <v>100</v>
      </c>
      <c r="V23" s="770" t="s">
        <v>17</v>
      </c>
      <c r="W23" s="771">
        <f>J23</f>
        <v>100</v>
      </c>
      <c r="X23" s="772"/>
      <c r="Y23" s="3361"/>
      <c r="Z23" s="55" t="str">
        <f>Q23</f>
        <v>公共配套设施</v>
      </c>
      <c r="AA23" s="1810">
        <f>D23/F23</f>
        <v>1</v>
      </c>
      <c r="AB23" s="1810">
        <f>D23/H23</f>
        <v>1</v>
      </c>
      <c r="AC23" s="1810">
        <f>D23/J23</f>
        <v>1</v>
      </c>
    </row>
    <row r="24" spans="1:29" s="117" customFormat="1" ht="15">
      <c r="A24" s="649"/>
      <c r="B24" s="632"/>
      <c r="C24" s="2695"/>
      <c r="D24" s="448"/>
      <c r="E24" s="2607"/>
      <c r="F24" s="448"/>
      <c r="G24" s="2607"/>
      <c r="H24" s="448"/>
      <c r="I24" s="447"/>
      <c r="J24" s="448"/>
      <c r="K24" s="672"/>
      <c r="L24" s="1132"/>
      <c r="M24" s="1133"/>
      <c r="N24" s="1133"/>
      <c r="O24" s="1134"/>
      <c r="P24" s="3361"/>
      <c r="Q24" s="1794"/>
      <c r="R24" s="770"/>
      <c r="S24" s="771"/>
      <c r="T24" s="770"/>
      <c r="U24" s="771"/>
      <c r="V24" s="770"/>
      <c r="W24" s="771"/>
      <c r="X24" s="772"/>
      <c r="Y24" s="3361"/>
      <c r="Z24" s="55"/>
      <c r="AA24" s="773">
        <v>1</v>
      </c>
      <c r="AB24" s="773">
        <v>1</v>
      </c>
      <c r="AC24" s="773">
        <v>1</v>
      </c>
    </row>
    <row r="25" spans="1:29" s="117" customFormat="1" ht="15">
      <c r="A25" s="649"/>
      <c r="B25" s="633" t="s">
        <v>2640</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61"/>
      <c r="Q25" s="1794" t="str">
        <f t="shared" ref="Q25" si="9">B25</f>
        <v>基础设施水平</v>
      </c>
      <c r="R25" s="770" t="s">
        <v>17</v>
      </c>
      <c r="S25" s="771">
        <f>F25</f>
        <v>100</v>
      </c>
      <c r="T25" s="770" t="s">
        <v>17</v>
      </c>
      <c r="U25" s="771">
        <f>H25</f>
        <v>100</v>
      </c>
      <c r="V25" s="770" t="s">
        <v>17</v>
      </c>
      <c r="W25" s="771">
        <f>J25</f>
        <v>100</v>
      </c>
      <c r="X25" s="772"/>
      <c r="Y25" s="3361"/>
      <c r="Z25" s="55" t="str">
        <f>Q25</f>
        <v>基础设施水平</v>
      </c>
      <c r="AA25" s="1810">
        <f>D25/F25</f>
        <v>1</v>
      </c>
      <c r="AB25" s="1810">
        <f>D25/H25</f>
        <v>1</v>
      </c>
      <c r="AC25" s="1810">
        <f>D25/J25</f>
        <v>1</v>
      </c>
    </row>
    <row r="26" spans="1:29" s="117" customFormat="1" ht="15">
      <c r="A26" s="649"/>
      <c r="B26" s="632"/>
      <c r="C26" s="2695"/>
      <c r="D26" s="448"/>
      <c r="E26" s="2696"/>
      <c r="F26" s="448"/>
      <c r="G26" s="2696"/>
      <c r="H26" s="448"/>
      <c r="I26" s="2696"/>
      <c r="J26" s="448"/>
      <c r="K26" s="672"/>
      <c r="L26" s="1132"/>
      <c r="M26" s="1133"/>
      <c r="N26" s="1133"/>
      <c r="O26" s="1134"/>
      <c r="P26" s="3361"/>
      <c r="Q26" s="1794"/>
      <c r="R26" s="770"/>
      <c r="S26" s="771"/>
      <c r="T26" s="770"/>
      <c r="U26" s="771"/>
      <c r="V26" s="770"/>
      <c r="W26" s="771"/>
      <c r="X26" s="772"/>
      <c r="Y26" s="3361"/>
      <c r="Z26" s="55"/>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6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361"/>
      <c r="Z27" s="1813" t="str">
        <f t="shared" ref="Z27:Z40" si="13">Q27</f>
        <v>临街状况</v>
      </c>
      <c r="AA27" s="1810">
        <f t="shared" si="3"/>
        <v>1</v>
      </c>
      <c r="AB27" s="1810">
        <f t="shared" si="4"/>
        <v>1</v>
      </c>
      <c r="AC27" s="1810">
        <f t="shared" si="5"/>
        <v>1</v>
      </c>
    </row>
    <row r="28" spans="1:29" ht="27">
      <c r="A28" s="428"/>
      <c r="B28" s="633" t="s">
        <v>2676</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61"/>
      <c r="Q28" s="1809" t="str">
        <f t="shared" si="8"/>
        <v>毗邻道路的类型与等级</v>
      </c>
      <c r="R28" s="774" t="s">
        <v>17</v>
      </c>
      <c r="S28" s="775">
        <f t="shared" si="10"/>
        <v>100</v>
      </c>
      <c r="T28" s="774" t="s">
        <v>17</v>
      </c>
      <c r="U28" s="775">
        <f t="shared" si="11"/>
        <v>100</v>
      </c>
      <c r="V28" s="774" t="s">
        <v>17</v>
      </c>
      <c r="W28" s="775">
        <f t="shared" si="12"/>
        <v>100</v>
      </c>
      <c r="X28" s="1812"/>
      <c r="Y28" s="3361"/>
      <c r="Z28" s="1813" t="str">
        <f t="shared" si="13"/>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361"/>
      <c r="Q29" s="1809"/>
      <c r="R29" s="774"/>
      <c r="S29" s="775"/>
      <c r="T29" s="774"/>
      <c r="U29" s="775"/>
      <c r="V29" s="774"/>
      <c r="W29" s="775"/>
      <c r="X29" s="1812"/>
      <c r="Y29" s="3361"/>
      <c r="Z29" s="1813"/>
      <c r="AA29" s="1810">
        <v>1</v>
      </c>
      <c r="AB29" s="1810">
        <v>1</v>
      </c>
      <c r="AC29" s="1810">
        <v>1</v>
      </c>
    </row>
    <row r="30" spans="1:29" ht="15">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61"/>
      <c r="Q30" s="1809" t="str">
        <f t="shared" si="8"/>
        <v>土地级别</v>
      </c>
      <c r="R30" s="774" t="s">
        <v>17</v>
      </c>
      <c r="S30" s="775">
        <f t="shared" si="10"/>
        <v>100</v>
      </c>
      <c r="T30" s="774" t="s">
        <v>17</v>
      </c>
      <c r="U30" s="775">
        <f t="shared" si="11"/>
        <v>100</v>
      </c>
      <c r="V30" s="774" t="s">
        <v>17</v>
      </c>
      <c r="W30" s="775">
        <f t="shared" si="12"/>
        <v>100</v>
      </c>
      <c r="X30" s="1812"/>
      <c r="Y30" s="3361"/>
      <c r="Z30" s="1813" t="str">
        <f t="shared" si="13"/>
        <v>土地级别</v>
      </c>
      <c r="AA30" s="1810">
        <f t="shared" si="3"/>
        <v>1</v>
      </c>
      <c r="AB30" s="1810">
        <f t="shared" si="4"/>
        <v>1</v>
      </c>
      <c r="AC30" s="1810">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61"/>
      <c r="Q31" s="1809">
        <f t="shared" si="8"/>
        <v>111</v>
      </c>
      <c r="R31" s="774" t="s">
        <v>17</v>
      </c>
      <c r="S31" s="775">
        <f t="shared" si="10"/>
        <v>100</v>
      </c>
      <c r="T31" s="774" t="s">
        <v>17</v>
      </c>
      <c r="U31" s="775">
        <f t="shared" si="11"/>
        <v>100</v>
      </c>
      <c r="V31" s="774" t="s">
        <v>17</v>
      </c>
      <c r="W31" s="775">
        <f t="shared" si="12"/>
        <v>100</v>
      </c>
      <c r="X31" s="1812"/>
      <c r="Y31" s="3361"/>
      <c r="Z31" s="1813">
        <f t="shared" si="13"/>
        <v>111</v>
      </c>
      <c r="AA31" s="1810">
        <f t="shared" si="3"/>
        <v>1</v>
      </c>
      <c r="AB31" s="1810">
        <f t="shared" si="4"/>
        <v>1</v>
      </c>
      <c r="AC31" s="1810">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62" t="s">
        <v>2551</v>
      </c>
      <c r="Q32" s="1809">
        <f t="shared" si="8"/>
        <v>111</v>
      </c>
      <c r="R32" s="774" t="s">
        <v>17</v>
      </c>
      <c r="S32" s="775">
        <f t="shared" si="10"/>
        <v>100</v>
      </c>
      <c r="T32" s="774" t="s">
        <v>17</v>
      </c>
      <c r="U32" s="775">
        <f t="shared" si="11"/>
        <v>100</v>
      </c>
      <c r="V32" s="774" t="s">
        <v>17</v>
      </c>
      <c r="W32" s="775">
        <f t="shared" si="12"/>
        <v>100</v>
      </c>
      <c r="X32" s="1812"/>
      <c r="Y32" s="3363" t="s">
        <v>2551</v>
      </c>
      <c r="Z32" s="1813">
        <f t="shared" si="13"/>
        <v>111</v>
      </c>
      <c r="AA32" s="1810">
        <f t="shared" si="3"/>
        <v>1</v>
      </c>
      <c r="AB32" s="1810">
        <f t="shared" si="4"/>
        <v>1</v>
      </c>
      <c r="AC32" s="1810">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63"/>
      <c r="Q33" s="1809">
        <f t="shared" si="8"/>
        <v>111</v>
      </c>
      <c r="R33" s="777" t="s">
        <v>17</v>
      </c>
      <c r="S33" s="778">
        <f t="shared" si="10"/>
        <v>100</v>
      </c>
      <c r="T33" s="777" t="s">
        <v>17</v>
      </c>
      <c r="U33" s="778">
        <f t="shared" si="11"/>
        <v>100</v>
      </c>
      <c r="V33" s="777" t="s">
        <v>17</v>
      </c>
      <c r="W33" s="778">
        <f t="shared" si="12"/>
        <v>100</v>
      </c>
      <c r="X33" s="779"/>
      <c r="Y33" s="3363"/>
      <c r="Z33" s="780">
        <f t="shared" si="13"/>
        <v>111</v>
      </c>
      <c r="AA33" s="1810">
        <f t="shared" si="3"/>
        <v>1</v>
      </c>
      <c r="AB33" s="1810">
        <f t="shared" si="4"/>
        <v>1</v>
      </c>
      <c r="AC33" s="1810">
        <f t="shared" si="5"/>
        <v>1</v>
      </c>
    </row>
    <row r="34" spans="1:29" ht="15">
      <c r="A34" s="440" t="s">
        <v>2549</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63"/>
      <c r="Q34" s="1809" t="str">
        <f>B34</f>
        <v>宗地面积</v>
      </c>
      <c r="R34" s="774" t="s">
        <v>17</v>
      </c>
      <c r="S34" s="775" t="e">
        <f t="shared" si="10"/>
        <v>#N/A</v>
      </c>
      <c r="T34" s="774" t="s">
        <v>17</v>
      </c>
      <c r="U34" s="775" t="e">
        <f t="shared" si="11"/>
        <v>#N/A</v>
      </c>
      <c r="V34" s="774" t="s">
        <v>17</v>
      </c>
      <c r="W34" s="775" t="e">
        <f t="shared" si="12"/>
        <v>#N/A</v>
      </c>
      <c r="X34" s="1812"/>
      <c r="Y34" s="3363"/>
      <c r="Z34" s="1813" t="str">
        <f t="shared" si="13"/>
        <v>宗地面积</v>
      </c>
      <c r="AA34" s="1810" t="e">
        <f t="shared" si="3"/>
        <v>#N/A</v>
      </c>
      <c r="AB34" s="1810" t="e">
        <f t="shared" si="4"/>
        <v>#N/A</v>
      </c>
      <c r="AC34" s="1810" t="e">
        <f t="shared" si="5"/>
        <v>#N/A</v>
      </c>
    </row>
    <row r="35" spans="1:29" ht="15">
      <c r="A35" s="472"/>
      <c r="B35" s="422" t="s">
        <v>2737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363"/>
      <c r="Q35" s="1809" t="str">
        <f t="shared" ref="Q35:Q40" si="14">B35</f>
        <v>宗地形状</v>
      </c>
      <c r="R35" s="774" t="s">
        <v>17</v>
      </c>
      <c r="S35" s="775">
        <f t="shared" si="10"/>
        <v>100</v>
      </c>
      <c r="T35" s="774" t="s">
        <v>17</v>
      </c>
      <c r="U35" s="775">
        <f t="shared" si="11"/>
        <v>100</v>
      </c>
      <c r="V35" s="774" t="s">
        <v>17</v>
      </c>
      <c r="W35" s="775">
        <f t="shared" si="12"/>
        <v>100</v>
      </c>
      <c r="X35" s="1812"/>
      <c r="Y35" s="3363"/>
      <c r="Z35" s="1813" t="str">
        <f t="shared" si="13"/>
        <v>宗地形状</v>
      </c>
      <c r="AA35" s="1810">
        <f t="shared" si="3"/>
        <v>1</v>
      </c>
      <c r="AB35" s="1810">
        <f t="shared" si="4"/>
        <v>1</v>
      </c>
      <c r="AC35" s="1810">
        <f t="shared" si="5"/>
        <v>1</v>
      </c>
    </row>
    <row r="36" spans="1:29" s="117" customFormat="1" ht="15">
      <c r="A36" s="473"/>
      <c r="B36" s="422" t="s">
        <v>2739</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363"/>
      <c r="Q36" s="1809" t="str">
        <f t="shared" si="14"/>
        <v>宗地开发程度</v>
      </c>
      <c r="R36" s="770" t="s">
        <v>17</v>
      </c>
      <c r="S36" s="771">
        <f t="shared" si="10"/>
        <v>100</v>
      </c>
      <c r="T36" s="770" t="s">
        <v>17</v>
      </c>
      <c r="U36" s="771">
        <f t="shared" si="11"/>
        <v>100</v>
      </c>
      <c r="V36" s="770" t="s">
        <v>17</v>
      </c>
      <c r="W36" s="771">
        <f t="shared" si="12"/>
        <v>100</v>
      </c>
      <c r="X36" s="772"/>
      <c r="Y36" s="3363"/>
      <c r="Z36" s="55" t="str">
        <f t="shared" si="13"/>
        <v>宗地开发程度</v>
      </c>
      <c r="AA36" s="773">
        <f t="shared" si="3"/>
        <v>1</v>
      </c>
      <c r="AB36" s="773">
        <f t="shared" si="4"/>
        <v>1</v>
      </c>
      <c r="AC36" s="773">
        <f t="shared" si="5"/>
        <v>1</v>
      </c>
    </row>
    <row r="37" spans="1:29" ht="15">
      <c r="A37" s="472"/>
      <c r="B37" s="422" t="s">
        <v>2740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363" t="s">
        <v>2551</v>
      </c>
      <c r="Q37" s="1809" t="str">
        <f t="shared" si="14"/>
        <v>工程地质条件</v>
      </c>
      <c r="R37" s="774" t="s">
        <v>17</v>
      </c>
      <c r="S37" s="775">
        <f t="shared" si="10"/>
        <v>100</v>
      </c>
      <c r="T37" s="774" t="s">
        <v>17</v>
      </c>
      <c r="U37" s="775">
        <f t="shared" si="11"/>
        <v>100</v>
      </c>
      <c r="V37" s="774" t="s">
        <v>17</v>
      </c>
      <c r="W37" s="775">
        <f t="shared" si="12"/>
        <v>100</v>
      </c>
      <c r="X37" s="1812"/>
      <c r="Y37" s="3363" t="s">
        <v>2551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63"/>
      <c r="Q38" s="1809">
        <f t="shared" si="14"/>
        <v>111</v>
      </c>
      <c r="R38" s="774" t="s">
        <v>17</v>
      </c>
      <c r="S38" s="775">
        <f t="shared" si="10"/>
        <v>100</v>
      </c>
      <c r="T38" s="774" t="s">
        <v>17</v>
      </c>
      <c r="U38" s="775">
        <f t="shared" si="11"/>
        <v>100</v>
      </c>
      <c r="V38" s="774" t="s">
        <v>17</v>
      </c>
      <c r="W38" s="775">
        <f t="shared" si="12"/>
        <v>100</v>
      </c>
      <c r="X38" s="1812"/>
      <c r="Y38" s="336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63"/>
      <c r="Q39" s="1809">
        <f t="shared" si="14"/>
        <v>111</v>
      </c>
      <c r="R39" s="774" t="s">
        <v>17</v>
      </c>
      <c r="S39" s="775">
        <f t="shared" si="10"/>
        <v>100</v>
      </c>
      <c r="T39" s="774" t="s">
        <v>17</v>
      </c>
      <c r="U39" s="775">
        <f t="shared" si="11"/>
        <v>100</v>
      </c>
      <c r="V39" s="774" t="s">
        <v>17</v>
      </c>
      <c r="W39" s="775">
        <f t="shared" si="12"/>
        <v>100</v>
      </c>
      <c r="X39" s="1812"/>
      <c r="Y39" s="3363"/>
      <c r="Z39" s="1813">
        <f t="shared" si="13"/>
        <v>111</v>
      </c>
      <c r="AA39" s="1810">
        <f t="shared" si="3"/>
        <v>1</v>
      </c>
      <c r="AB39" s="1810">
        <f t="shared" si="4"/>
        <v>1</v>
      </c>
      <c r="AC39" s="1810">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63"/>
      <c r="Q40" s="1809">
        <f t="shared" si="14"/>
        <v>111</v>
      </c>
      <c r="R40" s="777" t="s">
        <v>17</v>
      </c>
      <c r="S40" s="778">
        <f t="shared" si="10"/>
        <v>100</v>
      </c>
      <c r="T40" s="777" t="s">
        <v>17</v>
      </c>
      <c r="U40" s="778">
        <f t="shared" si="11"/>
        <v>100</v>
      </c>
      <c r="V40" s="777" t="s">
        <v>17</v>
      </c>
      <c r="W40" s="778">
        <f t="shared" si="12"/>
        <v>100</v>
      </c>
      <c r="X40" s="779"/>
      <c r="Y40" s="3363"/>
      <c r="Z40" s="780">
        <f t="shared" si="13"/>
        <v>111</v>
      </c>
      <c r="AA40" s="1810">
        <f t="shared" si="3"/>
        <v>1</v>
      </c>
      <c r="AB40" s="1810">
        <f t="shared" si="4"/>
        <v>1</v>
      </c>
      <c r="AC40" s="1810">
        <f t="shared" si="5"/>
        <v>1</v>
      </c>
    </row>
    <row r="41" spans="1:29" ht="15">
      <c r="A41" s="479" t="s">
        <v>2705</v>
      </c>
      <c r="B41" s="2699" t="s">
        <v>2784</v>
      </c>
      <c r="C41" s="682" t="s">
        <v>1</v>
      </c>
      <c r="D41" s="481"/>
      <c r="E41" s="482"/>
      <c r="F41" s="483"/>
      <c r="G41" s="484"/>
      <c r="H41" s="485"/>
      <c r="I41" s="482"/>
      <c r="J41" s="485"/>
      <c r="K41" s="783"/>
      <c r="L41" s="1143"/>
      <c r="M41" s="1131"/>
      <c r="N41" s="1131"/>
      <c r="O41" s="1144"/>
      <c r="P41" s="3345" t="str">
        <f>A41</f>
        <v>成交单价</v>
      </c>
      <c r="Q41" s="3345"/>
      <c r="R41" s="3358">
        <f>E41</f>
        <v>0</v>
      </c>
      <c r="S41" s="3358"/>
      <c r="T41" s="3358">
        <f>G41</f>
        <v>0</v>
      </c>
      <c r="U41" s="3358"/>
      <c r="V41" s="3358">
        <f>I41</f>
        <v>0</v>
      </c>
      <c r="W41" s="3358"/>
      <c r="X41" s="759"/>
      <c r="Y41" s="781"/>
      <c r="Z41" s="759"/>
      <c r="AA41" s="759"/>
      <c r="AB41" s="759"/>
      <c r="AC41" s="759"/>
    </row>
    <row r="42" spans="1:29" ht="15.75" thickBot="1">
      <c r="A42" s="486" t="s">
        <v>2654</v>
      </c>
      <c r="B42" s="683"/>
      <c r="C42" s="490" t="e">
        <f>R43</f>
        <v>#DIV/0!</v>
      </c>
      <c r="D42" s="489"/>
      <c r="E42" s="490" t="e">
        <f>R42</f>
        <v>#DIV/0!</v>
      </c>
      <c r="F42" s="491"/>
      <c r="G42" s="488" t="e">
        <f>T42</f>
        <v>#DIV/0!</v>
      </c>
      <c r="H42" s="489"/>
      <c r="I42" s="490" t="e">
        <f>V42</f>
        <v>#DIV/0!</v>
      </c>
      <c r="J42" s="489"/>
      <c r="K42" s="784"/>
      <c r="L42" s="1143"/>
      <c r="M42" s="1131"/>
      <c r="N42" s="1131"/>
      <c r="O42" s="1144"/>
      <c r="P42" s="3345" t="str">
        <f>A42</f>
        <v>比较价值（元/平方米）</v>
      </c>
      <c r="Q42" s="3345"/>
      <c r="R42" s="3364" t="e">
        <f>ROUND(PRODUCT(R41,AA7:AA40),0)</f>
        <v>#DIV/0!</v>
      </c>
      <c r="S42" s="3364"/>
      <c r="T42" s="3364" t="e">
        <f>ROUND(PRODUCT(T41,AB7:AB40),0)</f>
        <v>#DIV/0!</v>
      </c>
      <c r="U42" s="3364"/>
      <c r="V42" s="3364" t="e">
        <f>ROUND(PRODUCT(V41,AC7:AC40),0)</f>
        <v>#DIV/0!</v>
      </c>
      <c r="W42" s="3364"/>
      <c r="X42" s="759"/>
      <c r="Y42" s="759"/>
      <c r="Z42" s="759"/>
      <c r="AA42" s="759"/>
      <c r="AB42" s="759"/>
      <c r="AC42" s="759"/>
    </row>
    <row r="43" spans="1:29" ht="15.75" thickBot="1">
      <c r="A43" s="492" t="s">
        <v>2655</v>
      </c>
      <c r="B43" s="493"/>
      <c r="C43" s="494" t="e">
        <f>R43</f>
        <v>#DIV/0!</v>
      </c>
      <c r="D43" s="494"/>
      <c r="E43" s="494"/>
      <c r="F43" s="494"/>
      <c r="G43" s="494"/>
      <c r="H43" s="494"/>
      <c r="I43" s="494"/>
      <c r="J43" s="494"/>
      <c r="K43" s="785"/>
      <c r="L43" s="1143"/>
      <c r="M43" s="1131"/>
      <c r="N43" s="1131"/>
      <c r="O43" s="1144"/>
      <c r="P43" s="3365" t="str">
        <f>A43</f>
        <v>估价对象XX用房的比较价值（楼面单价，元/平方米）</v>
      </c>
      <c r="Q43" s="3366"/>
      <c r="R43" s="3367" t="e">
        <f>ROUND(AVERAGE(R42:V42),0)</f>
        <v>#DIV/0!</v>
      </c>
      <c r="S43" s="3367"/>
      <c r="T43" s="3367"/>
      <c r="U43" s="3367"/>
      <c r="V43" s="3367"/>
      <c r="W43" s="336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2742</v>
      </c>
      <c r="B50" s="685" t="s">
        <v>2743</v>
      </c>
      <c r="C50" s="2700" t="s">
        <v>2744</v>
      </c>
      <c r="D50" s="2701" t="s">
        <v>2745</v>
      </c>
      <c r="E50" s="686" t="s">
        <v>2746</v>
      </c>
      <c r="F50" s="687" t="s">
        <v>2747</v>
      </c>
      <c r="G50" s="3346" t="s">
        <v>2748</v>
      </c>
      <c r="H50" s="3368"/>
      <c r="I50" s="1813" t="s">
        <v>2785</v>
      </c>
      <c r="J50" s="1813">
        <f>项目基本情况!F35</f>
        <v>0</v>
      </c>
      <c r="K50" s="2703" t="s">
        <v>2750</v>
      </c>
      <c r="L50" s="1106"/>
      <c r="M50" s="1144"/>
      <c r="N50" s="1144"/>
      <c r="O50" s="1144"/>
    </row>
    <row r="51" spans="1:17" s="692" customFormat="1">
      <c r="A51" s="688" t="s">
        <v>2751</v>
      </c>
      <c r="B51" s="689" t="e">
        <f>C43</f>
        <v>#DIV/0!</v>
      </c>
      <c r="C51" s="690">
        <v>1</v>
      </c>
      <c r="D51" s="1163">
        <v>1</v>
      </c>
      <c r="E51" s="690">
        <f>'数据-汇总表'!E8+'数据-汇总表'!E9</f>
        <v>38206.339999999997</v>
      </c>
      <c r="F51" s="691" t="e">
        <f t="shared" ref="F51:F60" si="15">ROUND(B51*E51/10000,0)</f>
        <v>#DIV/0!</v>
      </c>
      <c r="G51" s="3369"/>
      <c r="H51" s="3345"/>
      <c r="I51" s="942">
        <v>1</v>
      </c>
      <c r="J51" s="942">
        <v>1</v>
      </c>
      <c r="K51" s="1145"/>
      <c r="L51" s="941"/>
      <c r="M51" s="941"/>
      <c r="N51" s="941"/>
      <c r="O51" s="941"/>
    </row>
    <row r="52" spans="1:17" s="692" customFormat="1">
      <c r="A52" s="693" t="s">
        <v>2752</v>
      </c>
      <c r="B52" s="262" t="e">
        <f>ROUND($C$43*C52*D52,0)</f>
        <v>#DIV/0!</v>
      </c>
      <c r="C52" s="200">
        <f t="shared" ref="C52:C60" si="16">IF($C$50="北京市系数",I52,J52)</f>
        <v>0</v>
      </c>
      <c r="D52" s="1164">
        <v>0.25</v>
      </c>
      <c r="E52" s="694"/>
      <c r="F52" s="691" t="e">
        <f t="shared" si="15"/>
        <v>#DIV/0!</v>
      </c>
      <c r="G52" s="3370" t="s">
        <v>2753</v>
      </c>
      <c r="H52" s="1104">
        <f>项目基本情况!B37</f>
        <v>0</v>
      </c>
      <c r="I52" s="942">
        <f>SUMIF(修正!A45:A56,H52,修正!B45:B56)</f>
        <v>0</v>
      </c>
      <c r="J52" s="943"/>
      <c r="K52" s="1144"/>
      <c r="L52" s="941"/>
      <c r="M52" s="941"/>
      <c r="N52" s="941"/>
      <c r="O52" s="941"/>
    </row>
    <row r="53" spans="1:17" s="692" customFormat="1">
      <c r="A53" s="693" t="s">
        <v>2754</v>
      </c>
      <c r="B53" s="262" t="e">
        <f t="shared" ref="B53:B60" si="17">ROUND($C$43*C53*D53,0)</f>
        <v>#DIV/0!</v>
      </c>
      <c r="C53" s="200">
        <f t="shared" si="16"/>
        <v>0</v>
      </c>
      <c r="D53" s="1164">
        <v>0.25</v>
      </c>
      <c r="E53" s="694"/>
      <c r="F53" s="691" t="e">
        <f t="shared" si="15"/>
        <v>#DIV/0!</v>
      </c>
      <c r="G53" s="3370"/>
      <c r="H53" s="1104">
        <f>项目基本情况!B37</f>
        <v>0</v>
      </c>
      <c r="I53" s="942">
        <f>SUMIF(修正!A45:A56,H53,修正!C45:C56)</f>
        <v>0</v>
      </c>
      <c r="J53" s="943"/>
      <c r="K53" s="1145"/>
      <c r="L53" s="941"/>
      <c r="M53" s="941"/>
      <c r="N53" s="941"/>
      <c r="O53" s="941"/>
    </row>
    <row r="54" spans="1:17" s="692" customFormat="1">
      <c r="A54" s="693" t="s">
        <v>2755</v>
      </c>
      <c r="B54" s="262" t="e">
        <f t="shared" si="17"/>
        <v>#DIV/0!</v>
      </c>
      <c r="C54" s="200">
        <f t="shared" si="16"/>
        <v>0</v>
      </c>
      <c r="D54" s="1164">
        <v>0.25</v>
      </c>
      <c r="E54" s="694"/>
      <c r="F54" s="691" t="e">
        <f t="shared" si="15"/>
        <v>#DIV/0!</v>
      </c>
      <c r="G54" s="3370"/>
      <c r="H54" s="1104">
        <f>项目基本情况!B37</f>
        <v>0</v>
      </c>
      <c r="I54" s="942">
        <f>SUMIF(修正!A45:A56,H54,修正!D45:D56)</f>
        <v>0</v>
      </c>
      <c r="J54" s="943"/>
      <c r="K54" s="1144"/>
      <c r="L54" s="941"/>
      <c r="M54" s="941"/>
      <c r="N54" s="941"/>
      <c r="O54" s="941"/>
    </row>
    <row r="55" spans="1:17" s="692" customFormat="1">
      <c r="A55" s="693" t="s">
        <v>2756</v>
      </c>
      <c r="B55" s="262" t="e">
        <f t="shared" si="17"/>
        <v>#DIV/0!</v>
      </c>
      <c r="C55" s="200">
        <f t="shared" si="16"/>
        <v>0</v>
      </c>
      <c r="D55" s="1164">
        <v>0.25</v>
      </c>
      <c r="E55" s="694"/>
      <c r="F55" s="691" t="e">
        <f t="shared" si="15"/>
        <v>#DIV/0!</v>
      </c>
      <c r="G55" s="3370"/>
      <c r="H55" s="1104">
        <f>项目基本情况!B37</f>
        <v>0</v>
      </c>
      <c r="I55" s="942">
        <f>SUMIF(修正!A45:A56,H55,修正!E45:E56)</f>
        <v>0</v>
      </c>
      <c r="J55" s="943"/>
      <c r="K55" s="1145"/>
      <c r="L55" s="941"/>
      <c r="M55" s="941"/>
      <c r="N55" s="941"/>
      <c r="O55" s="941"/>
    </row>
    <row r="56" spans="1:17" s="692" customFormat="1">
      <c r="A56" s="693" t="s">
        <v>2757</v>
      </c>
      <c r="B56" s="262" t="e">
        <f t="shared" si="17"/>
        <v>#DIV/0!</v>
      </c>
      <c r="C56" s="200">
        <f t="shared" si="16"/>
        <v>0</v>
      </c>
      <c r="D56" s="1164">
        <v>0.25</v>
      </c>
      <c r="E56" s="261">
        <f>'数据-汇总表'!E11</f>
        <v>0</v>
      </c>
      <c r="F56" s="691" t="e">
        <f t="shared" si="15"/>
        <v>#DIV/0!</v>
      </c>
      <c r="G56" s="2704" t="s">
        <v>2758</v>
      </c>
      <c r="H56" s="1104">
        <f>项目基本情况!C37</f>
        <v>0</v>
      </c>
      <c r="I56" s="942">
        <f>SUMIF(修正!A45:A56,H56,修正!F45:F56)</f>
        <v>0</v>
      </c>
      <c r="J56" s="943"/>
      <c r="K56" s="1144"/>
      <c r="L56" s="941"/>
      <c r="M56" s="941"/>
      <c r="N56" s="941"/>
      <c r="O56" s="941"/>
    </row>
    <row r="57" spans="1:17" s="692" customFormat="1">
      <c r="A57" s="693" t="s">
        <v>2759</v>
      </c>
      <c r="B57" s="262" t="e">
        <f t="shared" si="17"/>
        <v>#DIV/0!</v>
      </c>
      <c r="C57" s="200">
        <f t="shared" si="16"/>
        <v>0</v>
      </c>
      <c r="D57" s="1164">
        <v>0.25</v>
      </c>
      <c r="E57" s="261">
        <f>'数据-汇总表'!E12</f>
        <v>0</v>
      </c>
      <c r="F57" s="691" t="e">
        <f t="shared" si="15"/>
        <v>#DIV/0!</v>
      </c>
      <c r="G57" s="1109" t="s">
        <v>2760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2761</v>
      </c>
      <c r="B58" s="262" t="e">
        <f t="shared" si="17"/>
        <v>#DIV/0!</v>
      </c>
      <c r="C58" s="200">
        <f t="shared" si="16"/>
        <v>0</v>
      </c>
      <c r="D58" s="1164">
        <v>0.25</v>
      </c>
      <c r="E58" s="261">
        <f>'数据-汇总表'!E13</f>
        <v>0</v>
      </c>
      <c r="F58" s="691" t="e">
        <f t="shared" si="15"/>
        <v>#DIV/0!</v>
      </c>
      <c r="G58" s="1109" t="s">
        <v>2762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2763</v>
      </c>
      <c r="B59" s="262" t="e">
        <f t="shared" si="17"/>
        <v>#DIV/0!</v>
      </c>
      <c r="C59" s="200">
        <f t="shared" si="16"/>
        <v>0</v>
      </c>
      <c r="D59" s="1164">
        <v>0.25</v>
      </c>
      <c r="E59" s="261">
        <f>'数据-汇总表'!E14</f>
        <v>0</v>
      </c>
      <c r="F59" s="691" t="e">
        <f t="shared" si="15"/>
        <v>#DIV/0!</v>
      </c>
      <c r="G59" s="2704" t="s">
        <v>2753</v>
      </c>
      <c r="H59" s="1104">
        <f>项目基本情况!B37</f>
        <v>0</v>
      </c>
      <c r="I59" s="942">
        <f>SUMIF(修正!A45:A56,H59,修正!H45:H56)</f>
        <v>0</v>
      </c>
      <c r="J59" s="943"/>
      <c r="K59" s="1145"/>
      <c r="L59" s="941"/>
      <c r="M59" s="941"/>
      <c r="N59" s="941"/>
      <c r="O59" s="941"/>
    </row>
    <row r="60" spans="1:17" s="692" customFormat="1" ht="15" thickBot="1">
      <c r="A60" s="693" t="s">
        <v>2764</v>
      </c>
      <c r="B60" s="262" t="e">
        <f t="shared" si="17"/>
        <v>#DIV/0!</v>
      </c>
      <c r="C60" s="200">
        <f t="shared" si="16"/>
        <v>0</v>
      </c>
      <c r="D60" s="1164">
        <v>0.25</v>
      </c>
      <c r="E60" s="261">
        <f>'数据-汇总表'!E15</f>
        <v>0</v>
      </c>
      <c r="F60" s="691" t="e">
        <f t="shared" si="15"/>
        <v>#DIV/0!</v>
      </c>
      <c r="G60" s="2705" t="s">
        <v>2758</v>
      </c>
      <c r="H60" s="1114">
        <f>项目基本情况!C37</f>
        <v>0</v>
      </c>
      <c r="I60" s="942">
        <f>SUMIF(修正!A45:A56,H60,修正!H45:H56)</f>
        <v>0</v>
      </c>
      <c r="J60" s="943"/>
      <c r="K60" s="1144"/>
      <c r="L60" s="941"/>
      <c r="M60" s="941"/>
      <c r="N60" s="941"/>
      <c r="O60" s="941"/>
    </row>
    <row r="61" spans="1:17" s="692" customFormat="1" ht="15" thickBot="1">
      <c r="A61" s="695" t="s">
        <v>2765</v>
      </c>
      <c r="B61" s="696" t="s">
        <v>28</v>
      </c>
      <c r="C61" s="696" t="s">
        <v>29</v>
      </c>
      <c r="D61" s="696" t="s">
        <v>1026</v>
      </c>
      <c r="E61" s="696">
        <f>IF(B41="楼面地价",SUM(E51:E60),'数据-汇总表'!D3)</f>
        <v>13491.73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06" t="s">
        <v>2766</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1" t="s">
        <v>2786</v>
      </c>
      <c r="B66" s="332" t="str">
        <f>"北京市平均增长率"&amp;TEXT(基准地价修正!P24,"0.00%")</f>
        <v>北京市平均增长率1.34%</v>
      </c>
      <c r="C66" s="603">
        <v>100</v>
      </c>
      <c r="D66" s="595"/>
      <c r="E66" s="595"/>
      <c r="F66" s="595"/>
      <c r="G66" s="595"/>
      <c r="H66" s="595"/>
      <c r="I66" s="595"/>
      <c r="J66" s="595"/>
      <c r="K66" s="595"/>
      <c r="L66" s="595"/>
      <c r="M66" s="1567"/>
      <c r="N66" s="1567"/>
      <c r="O66" s="1568"/>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2769</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2770</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 sqref="C6"/>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2" customWidth="1"/>
    <col min="33" max="36" width="9.375" style="2783" customWidth="1"/>
    <col min="37" max="38" width="9.375" style="2715" customWidth="1"/>
    <col min="39" max="16384" width="12" style="2715"/>
  </cols>
  <sheetData>
    <row r="1" spans="1:36" ht="28.5">
      <c r="A1" s="240" t="s">
        <v>2788</v>
      </c>
      <c r="B1" s="241"/>
      <c r="C1" s="245" t="s">
        <v>2789</v>
      </c>
      <c r="D1" s="388">
        <f>SUM(D29:D30,D33:D39)</f>
        <v>38206.339999999997</v>
      </c>
      <c r="E1" s="2712"/>
      <c r="F1" s="2712"/>
      <c r="G1" s="2712"/>
      <c r="H1" s="2712"/>
      <c r="I1" s="2712"/>
      <c r="J1" s="2712"/>
      <c r="K1" s="1370"/>
      <c r="L1" s="2713" t="s">
        <v>2790</v>
      </c>
      <c r="M1" s="1080">
        <f>SUMPRODUCT((区片价!B5:B9=I2)*(区片价!C3:F3=E2)*(区片价!C5:F9))</f>
        <v>0</v>
      </c>
      <c r="N1" s="1083">
        <f>SUMPRODUCT((因素修正幅度!B5:B9=I2)*(因素修正幅度!C3:F3=E2)*(因素修正幅度!C5:F9))</f>
        <v>0</v>
      </c>
      <c r="O1" s="2714"/>
      <c r="P1" s="2714"/>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t="e">
        <f>C26</f>
        <v>#DIV/0!</v>
      </c>
      <c r="C2" s="2716" t="s">
        <v>2797</v>
      </c>
      <c r="D2" s="2717" t="s">
        <v>2798</v>
      </c>
      <c r="E2" s="2718"/>
      <c r="F2" s="2717" t="s">
        <v>2799</v>
      </c>
      <c r="G2" s="2719">
        <f>IF(E2="商业",项目基本情况!B37,IF(E2="办公",项目基本情况!C37,IF(E2="住宅",项目基本情况!D37,项目基本情况!E37)))</f>
        <v>0</v>
      </c>
      <c r="H2" s="2717" t="s">
        <v>2800</v>
      </c>
      <c r="I2" s="2719">
        <f>IF(E2="商业",项目基本情况!B38,IF(E2="办公",项目基本情况!C38,IF(E2="住宅",项目基本情况!D38,项目基本情况!E38)))</f>
        <v>0</v>
      </c>
      <c r="J2" s="2720"/>
      <c r="K2" s="1370"/>
      <c r="L2" s="2721" t="s">
        <v>2801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2802</v>
      </c>
      <c r="B3" s="248" t="e">
        <f>ROUND(B2*10000/D1,0)</f>
        <v>#DIV/0!</v>
      </c>
      <c r="C3" s="2716" t="s">
        <v>2803</v>
      </c>
      <c r="D3" s="2717" t="s">
        <v>2804</v>
      </c>
      <c r="E3" s="2722"/>
      <c r="F3" s="2723"/>
      <c r="G3" s="916">
        <f>IF(F3="宗地容积率",'数据-汇总表'!I4,IF(F3="估价对象容积率",'数据-汇总表'!I6,'数据-汇总表'!I7))</f>
        <v>2</v>
      </c>
      <c r="H3" s="198" t="s">
        <v>2805</v>
      </c>
      <c r="I3" s="944"/>
      <c r="J3" s="2720" t="s">
        <v>2806</v>
      </c>
      <c r="K3" s="1370"/>
      <c r="L3" s="2721" t="s">
        <v>2807</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447"/>
      <c r="B4" s="3448"/>
      <c r="C4" s="3448"/>
      <c r="D4" s="3449"/>
      <c r="E4" s="3449"/>
      <c r="F4" s="3449"/>
      <c r="G4" s="3449"/>
      <c r="H4" s="3449"/>
      <c r="I4" s="3449"/>
      <c r="J4" s="3450"/>
      <c r="K4" s="1370"/>
      <c r="L4" s="2721" t="s">
        <v>2808</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2809</v>
      </c>
      <c r="C5" s="917" t="e">
        <f>ROUND(IF(E2="商业",C6*C7+C16,(IF(E2="住宅",C6*C12+C16,C6+C16))),0)</f>
        <v>#DIV/0!</v>
      </c>
      <c r="D5" s="1786" t="e">
        <f>ROUND(C6+C16,0)</f>
        <v>#DIV/0!</v>
      </c>
      <c r="E5" s="1786"/>
      <c r="F5" s="2726"/>
      <c r="G5" s="2727"/>
      <c r="H5" s="2727"/>
      <c r="I5" s="2727"/>
      <c r="J5" s="2728"/>
      <c r="K5" s="2729"/>
      <c r="L5" s="2721" t="s">
        <v>2810</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0"/>
      <c r="AD5" s="2731"/>
      <c r="AE5" s="2731"/>
      <c r="AF5" s="2731"/>
      <c r="AG5" s="2731"/>
      <c r="AH5" s="2731"/>
      <c r="AI5" s="2731"/>
      <c r="AJ5" s="2732"/>
    </row>
    <row r="6" spans="1:36" ht="15.75" thickBot="1">
      <c r="A6" s="2734" t="s">
        <v>2811</v>
      </c>
      <c r="B6" s="2735" t="s">
        <v>2812</v>
      </c>
      <c r="C6" s="918">
        <f>SUMIF(L1:L12,G2,M1:M12)</f>
        <v>0</v>
      </c>
      <c r="D6" s="2736" t="s">
        <v>2813</v>
      </c>
      <c r="E6" s="2737"/>
      <c r="F6" s="2737"/>
      <c r="G6" s="2738"/>
      <c r="H6" s="2738"/>
      <c r="I6" s="2738"/>
      <c r="J6" s="2739"/>
      <c r="K6" s="1841"/>
      <c r="L6" s="2721" t="s">
        <v>2814</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0"/>
      <c r="AD6" s="2731"/>
      <c r="AE6" s="2731"/>
      <c r="AF6" s="2731"/>
      <c r="AG6" s="2731"/>
      <c r="AH6" s="2731"/>
      <c r="AI6" s="2731"/>
      <c r="AJ6" s="2732"/>
    </row>
    <row r="7" spans="1:36" ht="24">
      <c r="A7" s="3431" t="str">
        <f>IF(E2="商业",IF(C8="不临58条商业街","",2),"")</f>
        <v/>
      </c>
      <c r="B7" s="2740" t="s">
        <v>2815</v>
      </c>
      <c r="C7" s="919" t="e">
        <f>IF(C8="不临58条商业街",1,ROUND(1+(1.6*E8+1.2*E9+0.8*E10+0.4*E11)*C9,4))</f>
        <v>#DIV/0!</v>
      </c>
      <c r="D7" s="2741" t="s">
        <v>2816</v>
      </c>
      <c r="E7" s="945"/>
      <c r="F7" s="2742"/>
      <c r="G7" s="2743"/>
      <c r="H7" s="2743"/>
      <c r="I7" s="2743"/>
      <c r="J7" s="2744"/>
      <c r="K7" s="1841"/>
      <c r="L7" s="2721" t="s">
        <v>2817</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2818</v>
      </c>
      <c r="X7" s="1603">
        <f>G2</f>
        <v>0</v>
      </c>
      <c r="Y7" s="1603" t="s">
        <v>2819</v>
      </c>
      <c r="Z7" s="1604">
        <f>G3</f>
        <v>2</v>
      </c>
      <c r="AA7" s="1605"/>
      <c r="AB7" s="1605"/>
      <c r="AC7" s="1606"/>
      <c r="AD7" s="1607"/>
      <c r="AE7" s="1607"/>
      <c r="AF7" s="1607"/>
      <c r="AG7" s="1607"/>
      <c r="AH7" s="1607"/>
      <c r="AI7" s="1607"/>
      <c r="AJ7" s="1608"/>
    </row>
    <row r="8" spans="1:36" ht="15">
      <c r="A8" s="3451"/>
      <c r="B8" s="198" t="s">
        <v>2820</v>
      </c>
      <c r="C8" s="2745"/>
      <c r="D8" s="920" t="s">
        <v>139</v>
      </c>
      <c r="E8" s="921" t="e">
        <f>ROUND(C11/E7,4)</f>
        <v>#DIV/0!</v>
      </c>
      <c r="F8" s="2746" t="s">
        <v>2821</v>
      </c>
      <c r="G8" s="2747"/>
      <c r="H8" s="2747"/>
      <c r="I8" s="2747"/>
      <c r="J8" s="2748"/>
      <c r="K8" s="1370"/>
      <c r="L8" s="2721" t="s">
        <v>2822</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444" t="s">
        <v>2823</v>
      </c>
      <c r="X8" s="3445"/>
      <c r="Y8" s="1609" t="s">
        <v>2824</v>
      </c>
      <c r="Z8" s="1609" t="s">
        <v>2825</v>
      </c>
      <c r="AA8" s="1609" t="s">
        <v>2826</v>
      </c>
      <c r="AB8" s="1609" t="s">
        <v>2827</v>
      </c>
      <c r="AC8" s="1609" t="s">
        <v>2828</v>
      </c>
      <c r="AD8" s="1609" t="s">
        <v>2829</v>
      </c>
      <c r="AE8" s="1609" t="s">
        <v>2830</v>
      </c>
      <c r="AF8" s="1609" t="s">
        <v>2831</v>
      </c>
      <c r="AG8" s="1609" t="s">
        <v>2832</v>
      </c>
      <c r="AH8" s="1609" t="s">
        <v>2833</v>
      </c>
      <c r="AI8" s="1609" t="s">
        <v>2834</v>
      </c>
      <c r="AJ8" s="1609" t="s">
        <v>2835</v>
      </c>
    </row>
    <row r="9" spans="1:36" ht="15">
      <c r="A9" s="3451"/>
      <c r="B9" s="198" t="s">
        <v>2836</v>
      </c>
      <c r="C9" s="922">
        <f>SUMIF(修正!C59:C119,C8,修正!E59:E119)</f>
        <v>0</v>
      </c>
      <c r="D9" s="200" t="s">
        <v>140</v>
      </c>
      <c r="E9" s="200" t="e">
        <f>ROUND(C11/E7,4)</f>
        <v>#DIV/0!</v>
      </c>
      <c r="F9" s="2746" t="s">
        <v>2837</v>
      </c>
      <c r="G9" s="2747"/>
      <c r="H9" s="2747"/>
      <c r="I9" s="2747"/>
      <c r="J9" s="2748"/>
      <c r="K9" s="1370"/>
      <c r="L9" s="2721" t="s">
        <v>2838</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446" t="s">
        <v>2839</v>
      </c>
      <c r="X9" s="1610" t="s">
        <v>2840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451"/>
      <c r="B10" s="198" t="s">
        <v>2841</v>
      </c>
      <c r="C10" s="200">
        <f>SUMIF(修正!C59:C119,C8,修正!F59:F119)</f>
        <v>0</v>
      </c>
      <c r="D10" s="200" t="s">
        <v>141</v>
      </c>
      <c r="E10" s="200" t="e">
        <f>ROUND(C11/E7,4)</f>
        <v>#DIV/0!</v>
      </c>
      <c r="F10" s="2746" t="s">
        <v>2842</v>
      </c>
      <c r="G10" s="2747"/>
      <c r="H10" s="2747"/>
      <c r="I10" s="2747"/>
      <c r="J10" s="2748"/>
      <c r="K10" s="1370"/>
      <c r="L10" s="2721" t="s">
        <v>2843</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44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451"/>
      <c r="B11" s="2749" t="s">
        <v>2844</v>
      </c>
      <c r="C11" s="923">
        <f>C10/4</f>
        <v>0</v>
      </c>
      <c r="D11" s="923" t="s">
        <v>142</v>
      </c>
      <c r="E11" s="923" t="e">
        <f>ROUND(C11/E7,4)</f>
        <v>#DIV/0!</v>
      </c>
      <c r="F11" s="2750" t="s">
        <v>2845</v>
      </c>
      <c r="G11" s="2751"/>
      <c r="H11" s="2751"/>
      <c r="I11" s="2751"/>
      <c r="J11" s="2752"/>
      <c r="K11" s="1370"/>
      <c r="L11" s="2721" t="s">
        <v>2846</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446" t="s">
        <v>2847</v>
      </c>
      <c r="X11" s="1613" t="s">
        <v>2848</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431" t="s">
        <v>2849</v>
      </c>
      <c r="B12" s="2753" t="s">
        <v>2850</v>
      </c>
      <c r="C12" s="919">
        <f>ROUND(C15*D15*E15*F15*G15*H15*I15*J15,4)</f>
        <v>1</v>
      </c>
      <c r="D12" s="2754" t="s">
        <v>2851</v>
      </c>
      <c r="E12" s="2755"/>
      <c r="F12" s="2755"/>
      <c r="G12" s="2756"/>
      <c r="H12" s="2756"/>
      <c r="I12" s="2756"/>
      <c r="J12" s="2757"/>
      <c r="K12" s="1370"/>
      <c r="L12" s="2758" t="s">
        <v>2852</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446"/>
      <c r="X12" s="1615" t="s">
        <v>2853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452"/>
      <c r="B13" s="2759" t="s">
        <v>2854</v>
      </c>
      <c r="C13" s="2760" t="s">
        <v>2855</v>
      </c>
      <c r="D13" s="1807" t="s">
        <v>2856</v>
      </c>
      <c r="E13" s="1807" t="s">
        <v>2857</v>
      </c>
      <c r="F13" s="30" t="s">
        <v>2858</v>
      </c>
      <c r="G13" s="2761" t="s">
        <v>2859</v>
      </c>
      <c r="H13" s="2761" t="s">
        <v>2859</v>
      </c>
      <c r="I13" s="2761" t="s">
        <v>2859</v>
      </c>
      <c r="J13" s="2762" t="s">
        <v>2859</v>
      </c>
      <c r="K13" s="1370"/>
      <c r="L13" s="1370"/>
      <c r="M13" s="1370"/>
      <c r="N13" s="1370"/>
      <c r="O13" s="1370"/>
      <c r="P13" s="1370"/>
      <c r="Q13" s="1370"/>
      <c r="R13" s="1601">
        <v>12</v>
      </c>
      <c r="S13" s="1602"/>
      <c r="T13" s="1601" t="e">
        <f t="shared" si="0"/>
        <v>#DIV/0!</v>
      </c>
      <c r="U13" s="1602"/>
      <c r="V13" s="1601" t="e">
        <f t="shared" si="1"/>
        <v>#DIV/0!</v>
      </c>
      <c r="W13" s="3446"/>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452"/>
      <c r="B14" s="2763"/>
      <c r="C14" s="2764"/>
      <c r="D14" s="2765"/>
      <c r="E14" s="2765"/>
      <c r="F14" s="2766"/>
      <c r="G14" s="2767" t="s">
        <v>2860</v>
      </c>
      <c r="H14" s="2768"/>
      <c r="I14" s="2769"/>
      <c r="J14" s="2770"/>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453"/>
      <c r="B15" s="2771" t="s">
        <v>2861</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431" t="s">
        <v>2866</v>
      </c>
      <c r="B16" s="2740" t="s">
        <v>2867</v>
      </c>
      <c r="C16" s="2927" t="e">
        <f>ROUND(IF(F17="与级别开发程度一致",0,(G17-E17)/C17),0)</f>
        <v>#DIV/0!</v>
      </c>
      <c r="D16" s="3442" t="s">
        <v>2871</v>
      </c>
      <c r="E16" s="3443"/>
      <c r="F16" s="3442" t="s">
        <v>2868</v>
      </c>
      <c r="G16" s="3443"/>
      <c r="H16" s="2774"/>
      <c r="I16" s="2774"/>
      <c r="J16" s="2931"/>
      <c r="K16" s="2774"/>
      <c r="L16" s="2774"/>
      <c r="M16" s="2774"/>
      <c r="N16" s="2774"/>
      <c r="O16" s="2775"/>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432"/>
      <c r="B17" s="2938" t="s">
        <v>2870</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70"/>
      <c r="R17" s="1370"/>
      <c r="S17" s="1370"/>
      <c r="T17" s="1370"/>
      <c r="U17" s="1370"/>
      <c r="V17" s="1370"/>
      <c r="W17" s="1370"/>
      <c r="X17" s="1370"/>
      <c r="Y17" s="1370"/>
      <c r="Z17" s="1371"/>
      <c r="AE17" s="2778"/>
      <c r="AF17" s="2778"/>
      <c r="AG17" s="2715"/>
      <c r="AH17" s="2715"/>
      <c r="AI17" s="2715"/>
      <c r="AJ17" s="2715"/>
    </row>
    <row r="18" spans="1:37" s="2733" customFormat="1" ht="15.75" thickBot="1">
      <c r="A18" s="2932" t="s">
        <v>808</v>
      </c>
      <c r="B18" s="2933" t="s">
        <v>2873</v>
      </c>
      <c r="C18" s="2934">
        <f>SUMIF(修正!C18:C39,E3,修正!E18:E39)</f>
        <v>0</v>
      </c>
      <c r="D18" s="2935"/>
      <c r="E18" s="2936"/>
      <c r="F18" s="2936"/>
      <c r="G18" s="2936"/>
      <c r="H18" s="2936"/>
      <c r="I18" s="2936"/>
      <c r="J18" s="2937"/>
      <c r="K18" s="1377"/>
      <c r="O18" s="1375"/>
      <c r="P18" s="1375"/>
      <c r="Q18" s="1376"/>
      <c r="R18" s="1376"/>
      <c r="S18" s="1376"/>
      <c r="T18" s="1371"/>
      <c r="U18" s="1371"/>
      <c r="V18" s="1371"/>
      <c r="W18" s="1370"/>
      <c r="X18" s="1370"/>
      <c r="Y18" s="1370"/>
      <c r="Z18" s="1377"/>
      <c r="AA18" s="1378"/>
      <c r="AB18" s="1378"/>
      <c r="AC18" s="1378"/>
      <c r="AD18" s="1378"/>
      <c r="AE18" s="1372"/>
      <c r="AF18" s="1372"/>
      <c r="AG18" s="2783"/>
      <c r="AH18" s="2783"/>
      <c r="AI18" s="2783"/>
    </row>
    <row r="19" spans="1:37" s="2733" customFormat="1" ht="27.75" thickBot="1">
      <c r="A19" s="2779" t="s">
        <v>809</v>
      </c>
      <c r="B19" s="2780" t="s">
        <v>2874</v>
      </c>
      <c r="C19" s="924" t="e">
        <f>ROUND(IF(H19="按公示增长率计算",SUMPRODUCT((地价!A3:A28=YEAR(G19)&amp;"-"&amp;ROUNDUP(MONTH(G19)/3,0))*(地价!X2:AB2=E2)*(地价!X3:AB28)),IF(H19="地价指数",M20/M19,(1+I19)^O19)),4)</f>
        <v>#DIV/0!</v>
      </c>
      <c r="D19" s="2784" t="s">
        <v>2875</v>
      </c>
      <c r="E19" s="925">
        <v>41640</v>
      </c>
      <c r="F19" s="2784" t="s">
        <v>2876</v>
      </c>
      <c r="G19" s="926">
        <f>'数据-取费表'!B2</f>
        <v>43755</v>
      </c>
      <c r="H19" s="2785" t="s">
        <v>3048</v>
      </c>
      <c r="I19" s="927" t="str">
        <f>IF(H19="季度增幅（自定义）",SUMIF(N21:N24,E2,O21:O24),"")</f>
        <v/>
      </c>
      <c r="J19" s="2782"/>
      <c r="K19" s="1377"/>
      <c r="L19" s="2786" t="s">
        <v>2877</v>
      </c>
      <c r="M19" s="1733">
        <f>ROUND(SUMIF(地价!B2:F2,E2,地价!B28:F28),0)</f>
        <v>0</v>
      </c>
      <c r="N19" s="2787" t="s">
        <v>2878</v>
      </c>
      <c r="O19" s="928">
        <f>ROUNDDOWN(DATEDIF(E19,G19,"M")/3,0)</f>
        <v>23</v>
      </c>
      <c r="P19" s="1374"/>
      <c r="Q19" s="1376"/>
      <c r="R19" s="1376"/>
      <c r="S19" s="1376"/>
      <c r="T19" s="1371"/>
      <c r="U19" s="1371"/>
      <c r="V19" s="1371"/>
      <c r="W19" s="1370"/>
      <c r="X19" s="1370"/>
      <c r="Y19" s="1370"/>
      <c r="Z19" s="1377"/>
      <c r="AA19" s="1378"/>
      <c r="AB19" s="1378"/>
      <c r="AC19" s="1378"/>
      <c r="AD19" s="1378"/>
      <c r="AE19" s="1378"/>
      <c r="AF19" s="2788"/>
      <c r="AG19" s="2789"/>
      <c r="AH19" s="2783"/>
      <c r="AI19" s="2790"/>
      <c r="AJ19" s="2790"/>
      <c r="AK19" s="2790"/>
    </row>
    <row r="20" spans="1:37" s="2733" customFormat="1" ht="27.75" thickBot="1">
      <c r="A20" s="2791" t="s">
        <v>810</v>
      </c>
      <c r="B20" s="2792" t="s">
        <v>2879</v>
      </c>
      <c r="C20" s="929" t="e">
        <f>ROUND(POWER(1+G20,J20-I20)*(POWER(1+G20,I20)-1)/(POWER(1+G20,J20)-1),4)</f>
        <v>#DIV/0!</v>
      </c>
      <c r="D20" s="2793" t="s">
        <v>2880</v>
      </c>
      <c r="E20" s="1767">
        <f ca="1">存贷款利率!D4/100</f>
        <v>4.3499999999999997E-2</v>
      </c>
      <c r="F20" s="2793" t="s">
        <v>2872</v>
      </c>
      <c r="G20" s="934">
        <f>SUMIF(M26:P26,E2,M28:P28)</f>
        <v>0</v>
      </c>
      <c r="H20" s="2793" t="s">
        <v>2881</v>
      </c>
      <c r="I20" s="935" t="e">
        <f>SUMIF('数据-取费表'!C6:C15,E2,'数据-取费表'!F6:F15)/COUNTIF('数据-取费表'!C6:C15,E2)</f>
        <v>#DIV/0!</v>
      </c>
      <c r="J20" s="936">
        <f>IF(E2="住宅",70,IF(E2="商业",40,50))</f>
        <v>50</v>
      </c>
      <c r="K20" s="1377"/>
      <c r="L20" s="2794" t="s">
        <v>2882</v>
      </c>
      <c r="M20" s="1734">
        <f>ROUND(SUMPRODUCT((地价!A4:A28=YEAR(G19)&amp;"-"&amp;ROUNDUP(MONTH(G19)/3,0))*(地价!B2:F2=E2)*(地价!B4:F28)),0)</f>
        <v>0</v>
      </c>
      <c r="N20" s="2795" t="s">
        <v>2883</v>
      </c>
      <c r="O20" s="2796" t="s">
        <v>2884</v>
      </c>
      <c r="P20" s="2797" t="s">
        <v>2885</v>
      </c>
      <c r="R20" s="1376"/>
      <c r="S20" s="1376"/>
      <c r="T20" s="1371"/>
      <c r="U20" s="1371"/>
      <c r="V20" s="1371"/>
      <c r="W20" s="1370"/>
      <c r="X20" s="1370"/>
      <c r="Y20" s="1370"/>
      <c r="Z20" s="1377"/>
      <c r="AA20" s="1378"/>
      <c r="AB20" s="1378"/>
      <c r="AC20" s="1378"/>
      <c r="AD20" s="1378"/>
      <c r="AE20" s="1378"/>
      <c r="AF20" s="1378"/>
    </row>
    <row r="21" spans="1:37" s="2733" customFormat="1" ht="15">
      <c r="A21" s="2798" t="s">
        <v>811</v>
      </c>
      <c r="B21" s="2799" t="s">
        <v>3047</v>
      </c>
      <c r="C21" s="937" t="b">
        <f>IF(B21="容积率修正",IF(G3&lt;=10,D22,J22),C23)</f>
        <v>0</v>
      </c>
      <c r="D21" s="2800"/>
      <c r="E21" s="2800"/>
      <c r="F21" s="2800"/>
      <c r="G21" s="2800"/>
      <c r="H21" s="2800"/>
      <c r="I21" s="2800"/>
      <c r="J21" s="2801"/>
      <c r="K21" s="1377"/>
      <c r="N21" s="2802" t="s">
        <v>2886</v>
      </c>
      <c r="O21" s="1561"/>
      <c r="P21" s="1562">
        <f>SUMPRODUCT((地价!A3:A28=YEAR(G19)&amp;"-"&amp;ROUNDUP(MONTH(G19)/3,0))*(地价!AD2:AH2=N21)*(地价!AD3:AH28))</f>
        <v>1.38E-2</v>
      </c>
      <c r="R21" s="1376"/>
      <c r="S21" s="1376"/>
      <c r="T21" s="1371"/>
      <c r="U21" s="1371"/>
      <c r="V21" s="1371"/>
      <c r="W21" s="1370"/>
      <c r="X21" s="1370"/>
      <c r="Y21" s="1370"/>
      <c r="Z21" s="1377"/>
      <c r="AA21" s="1378"/>
      <c r="AB21" s="1378"/>
      <c r="AC21" s="1378"/>
      <c r="AD21" s="1378"/>
      <c r="AE21" s="1378"/>
      <c r="AF21" s="1378"/>
    </row>
    <row r="22" spans="1:37" s="2733" customFormat="1" ht="14.25">
      <c r="A22" s="2659" t="s">
        <v>2887</v>
      </c>
      <c r="B22" s="2803" t="s">
        <v>2888</v>
      </c>
      <c r="C22" s="1809" t="s">
        <v>2889</v>
      </c>
      <c r="D22" s="1809" t="b">
        <f>IF(E22=G22,F22,IF(G3&lt;=10,ROUND(F22+(H22-F22)*(G3-E22)/(G22-E22),4),"——"))</f>
        <v>0</v>
      </c>
      <c r="E22" s="916">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2" t="s">
        <v>2890</v>
      </c>
      <c r="O22" s="1561"/>
      <c r="P22" s="1562">
        <f>SUMPRODUCT((地价!A3:A28=YEAR(G19)&amp;"-"&amp;ROUNDUP(MONTH(G19)/3,0))*(地价!AD2:AH2=N22)*(地价!AD3:AH28))</f>
        <v>1.38E-2</v>
      </c>
      <c r="R22" s="1376"/>
      <c r="S22" s="1376"/>
      <c r="T22" s="1371"/>
      <c r="U22" s="1371"/>
      <c r="V22" s="1371"/>
      <c r="W22" s="1370"/>
      <c r="X22" s="1370"/>
      <c r="Y22" s="1370"/>
      <c r="Z22" s="1377"/>
      <c r="AA22" s="1378"/>
      <c r="AB22" s="1378"/>
      <c r="AC22" s="1378"/>
      <c r="AD22" s="1378"/>
      <c r="AE22" s="1378"/>
      <c r="AF22" s="1378"/>
    </row>
    <row r="23" spans="1:37" ht="27.75" thickBot="1">
      <c r="A23" s="2659" t="s">
        <v>2891</v>
      </c>
      <c r="B23" s="2804" t="s">
        <v>2892</v>
      </c>
      <c r="C23" s="1013">
        <f>ROUND(IF(G3&gt;1,IF(I3&lt;7,SUMPRODUCT((B93:B98=I3)*(C92:N92=G2)*(C93:N98)),SUMIF(C92:N92,G2,C100:N100)),IF(I3&lt;7,SUMPRODUCT((B102:B107=I3)*(C92:N92=G2)*(C102:N107)),SUMIF(C92:N92,G2,C109:N109))),4)</f>
        <v>0</v>
      </c>
      <c r="D23" s="2768"/>
      <c r="E23" s="2768"/>
      <c r="F23" s="2805"/>
      <c r="G23" s="2806"/>
      <c r="H23" s="2807"/>
      <c r="I23" s="2808"/>
      <c r="J23" s="2809"/>
      <c r="K23" s="1370"/>
      <c r="N23" s="2802" t="s">
        <v>2893</v>
      </c>
      <c r="O23" s="1561"/>
      <c r="P23" s="1562">
        <f>SUMPRODUCT((地价!A3:A28=YEAR(G19)&amp;"-"&amp;ROUNDUP(MONTH(G19)/3,0))*(地价!AD2:AH2=N23)*(地价!AD3:AH28))</f>
        <v>2.1399999999999999E-2</v>
      </c>
      <c r="R23" s="1376"/>
      <c r="S23" s="1376"/>
      <c r="T23" s="1371"/>
      <c r="U23" s="1371"/>
      <c r="V23" s="1371"/>
      <c r="W23" s="1370"/>
      <c r="X23" s="1370"/>
      <c r="Y23" s="1370"/>
      <c r="Z23" s="1377"/>
      <c r="AA23" s="1378"/>
      <c r="AB23" s="1378"/>
      <c r="AC23" s="1378"/>
      <c r="AD23" s="1378"/>
      <c r="AK23" s="2783"/>
    </row>
    <row r="24" spans="1:37" s="2733" customFormat="1" ht="15.75" thickBot="1">
      <c r="A24" s="2791" t="s">
        <v>812</v>
      </c>
      <c r="B24" s="2780" t="s">
        <v>2894</v>
      </c>
      <c r="C24" s="924">
        <f>SUMIF(A45:A88,E2,B45:B88)</f>
        <v>0</v>
      </c>
      <c r="D24" s="2781"/>
      <c r="E24" s="2810"/>
      <c r="F24" s="2810"/>
      <c r="G24" s="2810"/>
      <c r="H24" s="2810"/>
      <c r="I24" s="2810"/>
      <c r="J24" s="2811"/>
      <c r="K24" s="1377"/>
      <c r="N24" s="2812" t="s">
        <v>2895</v>
      </c>
      <c r="O24" s="1563"/>
      <c r="P24" s="1564">
        <f>SUMPRODUCT((地价!A3:A28=YEAR(G19)&amp;"-"&amp;ROUNDUP(MONTH(G19)/3,0))*(地价!AD2:AH2=N24)*(地价!AD3:AH28))</f>
        <v>1.34E-2</v>
      </c>
      <c r="R24" s="1376"/>
      <c r="S24" s="1376"/>
      <c r="T24" s="1371"/>
      <c r="U24" s="1371"/>
      <c r="V24" s="1371"/>
      <c r="W24" s="1370"/>
      <c r="X24" s="1370"/>
      <c r="Y24" s="1370"/>
      <c r="Z24" s="1377"/>
      <c r="AA24" s="1378"/>
      <c r="AB24" s="1378"/>
      <c r="AC24" s="1378"/>
      <c r="AD24" s="1378"/>
      <c r="AE24" s="1378"/>
      <c r="AF24" s="1378"/>
    </row>
    <row r="25" spans="1:37" ht="15.75" thickBot="1">
      <c r="A25" s="2791" t="s">
        <v>813</v>
      </c>
      <c r="B25" s="2813" t="s">
        <v>2896</v>
      </c>
      <c r="C25" s="930"/>
      <c r="D25" s="2743"/>
      <c r="E25" s="2743"/>
      <c r="F25" s="2814"/>
      <c r="G25" s="2743"/>
      <c r="H25" s="2743"/>
      <c r="I25" s="2743"/>
      <c r="J25" s="2744"/>
      <c r="K25" s="1370"/>
      <c r="N25" s="2815" t="s">
        <v>2897</v>
      </c>
      <c r="O25" s="1565"/>
      <c r="P25" s="1564">
        <f>SUMPRODUCT((地价!A3:A28=YEAR(G19)&amp;"-"&amp;ROUNDUP(MONTH(G19)/3,0))*(地价!AD2:AH2=N25)*(地价!AD3:AH28))</f>
        <v>1.9599999999999999E-2</v>
      </c>
      <c r="R25" s="1376"/>
      <c r="S25" s="1376"/>
      <c r="T25" s="1371"/>
      <c r="U25" s="1371"/>
      <c r="V25" s="1371"/>
      <c r="W25" s="1370"/>
      <c r="X25" s="1370"/>
      <c r="Y25" s="1370"/>
      <c r="Z25" s="1377"/>
      <c r="AA25" s="1378"/>
      <c r="AB25" s="1378"/>
      <c r="AC25" s="1378"/>
      <c r="AD25" s="1378"/>
    </row>
    <row r="26" spans="1:37" ht="15">
      <c r="A26" s="2816"/>
      <c r="B26" s="2803" t="s">
        <v>2898</v>
      </c>
      <c r="C26" s="206" t="e">
        <f>E29+SUM(E33:E39)</f>
        <v>#DIV/0!</v>
      </c>
      <c r="D26" s="2817"/>
      <c r="E26" s="2768"/>
      <c r="F26" s="2818"/>
      <c r="G26" s="2768"/>
      <c r="H26" s="2768"/>
      <c r="I26" s="2768"/>
      <c r="J26" s="2819"/>
      <c r="K26" s="1370"/>
      <c r="L26" s="2772" t="s">
        <v>2798</v>
      </c>
      <c r="M26" s="920" t="s">
        <v>2862</v>
      </c>
      <c r="N26" s="920" t="s">
        <v>2863</v>
      </c>
      <c r="O26" s="920" t="s">
        <v>2864</v>
      </c>
      <c r="P26" s="2773" t="s">
        <v>2865</v>
      </c>
      <c r="R26" s="1376"/>
      <c r="S26" s="1376"/>
      <c r="T26" s="1371"/>
      <c r="U26" s="1371"/>
      <c r="V26" s="1371"/>
      <c r="W26" s="1370"/>
      <c r="X26" s="1370"/>
      <c r="Y26" s="1370"/>
      <c r="Z26" s="1377"/>
      <c r="AA26" s="1378"/>
      <c r="AB26" s="1378"/>
      <c r="AC26" s="1378"/>
      <c r="AD26" s="1378"/>
    </row>
    <row r="27" spans="1:37" ht="15.75" thickBot="1">
      <c r="A27" s="2816"/>
      <c r="B27" s="2820" t="s">
        <v>2899</v>
      </c>
      <c r="C27" s="931" t="e">
        <f>E30+SUM(I33:I39)</f>
        <v>#DIV/0!</v>
      </c>
      <c r="D27" s="2821"/>
      <c r="E27" s="2822"/>
      <c r="F27" s="2823"/>
      <c r="G27" s="2822"/>
      <c r="H27" s="2822"/>
      <c r="I27" s="2822"/>
      <c r="J27" s="2824"/>
      <c r="K27" s="1370"/>
      <c r="L27" s="2776" t="s">
        <v>2869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5"/>
      <c r="B28" s="2826" t="s">
        <v>2900</v>
      </c>
      <c r="C28" s="2827" t="s">
        <v>2901</v>
      </c>
      <c r="D28" s="2827" t="s">
        <v>2902</v>
      </c>
      <c r="E28" s="2828" t="s">
        <v>2903</v>
      </c>
      <c r="F28" s="2829"/>
      <c r="G28" s="2756"/>
      <c r="H28" s="2756"/>
      <c r="I28" s="2756"/>
      <c r="J28" s="2757"/>
      <c r="K28" s="1370"/>
      <c r="L28" s="2777" t="s">
        <v>2872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0"/>
      <c r="B29" s="2831" t="s">
        <v>2904</v>
      </c>
      <c r="C29" s="206" t="e">
        <f>ROUND(C5*C18*C19*C20*C21*C24,0)</f>
        <v>#DIV/0!</v>
      </c>
      <c r="D29" s="2832">
        <f>'数据-汇总表'!F27</f>
        <v>38206.339999999997</v>
      </c>
      <c r="E29" s="942" t="e">
        <f>ROUND(C29*D29/10000,0)</f>
        <v>#DIV/0!</v>
      </c>
      <c r="F29" s="2833" t="s">
        <v>2905</v>
      </c>
      <c r="G29" s="2834"/>
      <c r="H29" s="2834"/>
      <c r="I29" s="2834"/>
      <c r="J29" s="2835"/>
      <c r="K29" s="1370"/>
      <c r="L29" s="1370"/>
      <c r="M29" s="1370"/>
      <c r="N29" s="1370"/>
      <c r="O29" s="1375"/>
      <c r="P29" s="1375"/>
      <c r="Q29" s="1376"/>
      <c r="R29" s="1376"/>
      <c r="S29" s="1376"/>
      <c r="T29" s="1371"/>
      <c r="U29" s="1371"/>
      <c r="V29" s="1371"/>
      <c r="W29" s="1370"/>
      <c r="X29" s="1370"/>
      <c r="Y29" s="1370"/>
      <c r="Z29" s="1377"/>
      <c r="AA29" s="1378"/>
      <c r="AB29" s="1378"/>
      <c r="AC29" s="1378"/>
      <c r="AD29" s="1378"/>
      <c r="AE29" s="2778"/>
      <c r="AF29" s="2778"/>
      <c r="AG29" s="2715"/>
      <c r="AH29" s="2715"/>
      <c r="AI29" s="2715"/>
      <c r="AJ29" s="2715"/>
    </row>
    <row r="30" spans="1:37" ht="25.5" thickBot="1">
      <c r="A30" s="2836"/>
      <c r="B30" s="2837" t="s">
        <v>2906</v>
      </c>
      <c r="C30" s="229" t="e">
        <f>ROUND(IF(E2="工业",C29*M39,C29*M38),0)</f>
        <v>#DIV/0!</v>
      </c>
      <c r="D30" s="2838"/>
      <c r="E30" s="942" t="e">
        <f>ROUND(C30*D30/10000,0)</f>
        <v>#DIV/0!</v>
      </c>
      <c r="F30" s="2839" t="s">
        <v>2907</v>
      </c>
      <c r="G30" s="2840"/>
      <c r="H30" s="2840"/>
      <c r="I30" s="2840"/>
      <c r="J30" s="2841"/>
      <c r="K30" s="1370"/>
      <c r="L30" s="1370"/>
      <c r="M30" s="1370"/>
      <c r="N30" s="1370"/>
      <c r="O30" s="1375"/>
      <c r="P30" s="1375"/>
      <c r="Q30" s="1376"/>
      <c r="R30" s="1376"/>
      <c r="S30" s="1376"/>
      <c r="T30" s="1371"/>
      <c r="U30" s="1371"/>
      <c r="V30" s="1371"/>
      <c r="W30" s="1370"/>
      <c r="X30" s="1370"/>
      <c r="Y30" s="1370"/>
      <c r="Z30" s="1377"/>
      <c r="AA30" s="1378"/>
      <c r="AB30" s="1378"/>
      <c r="AC30" s="1378"/>
      <c r="AD30" s="1378"/>
      <c r="AE30" s="2778"/>
      <c r="AF30" s="2778"/>
      <c r="AG30" s="2715"/>
      <c r="AH30" s="2715"/>
      <c r="AI30" s="2715"/>
      <c r="AJ30" s="2715"/>
    </row>
    <row r="31" spans="1:37" ht="14.25">
      <c r="A31" s="2842"/>
      <c r="B31" s="2843" t="s">
        <v>2908</v>
      </c>
      <c r="C31" s="2844" t="s">
        <v>2909</v>
      </c>
      <c r="D31" s="2756"/>
      <c r="E31" s="2844"/>
      <c r="F31" s="2844"/>
      <c r="G31" s="2754" t="s">
        <v>2910</v>
      </c>
      <c r="H31" s="2756"/>
      <c r="I31" s="2845"/>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78"/>
      <c r="AF31" s="2778"/>
      <c r="AG31" s="2715"/>
      <c r="AH31" s="2715"/>
      <c r="AI31" s="2715"/>
      <c r="AJ31" s="2715"/>
    </row>
    <row r="32" spans="1:37" ht="24">
      <c r="A32" s="2830"/>
      <c r="B32" s="2846"/>
      <c r="C32" s="501" t="s">
        <v>2901</v>
      </c>
      <c r="D32" s="498" t="s">
        <v>2902</v>
      </c>
      <c r="E32" s="498" t="s">
        <v>2903</v>
      </c>
      <c r="F32" s="388" t="s">
        <v>2911</v>
      </c>
      <c r="G32" s="2847" t="s">
        <v>2901</v>
      </c>
      <c r="H32" s="2847" t="s">
        <v>2902</v>
      </c>
      <c r="I32" s="2847" t="s">
        <v>2903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8"/>
      <c r="AF32" s="2778"/>
      <c r="AG32" s="2715"/>
      <c r="AH32" s="2715"/>
      <c r="AI32" s="2715"/>
      <c r="AJ32" s="2715"/>
    </row>
    <row r="33" spans="1:37" ht="36" customHeight="1">
      <c r="A33" s="3439" t="s">
        <v>2912</v>
      </c>
      <c r="B33" s="2848" t="s">
        <v>2913</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40"/>
      <c r="B34" s="2760" t="s">
        <v>2914</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40"/>
      <c r="B35" s="2760" t="s">
        <v>2915</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70"/>
      <c r="L35" s="1370"/>
      <c r="M35" s="1370"/>
      <c r="N35" s="1370"/>
      <c r="O35" s="1370"/>
      <c r="P35" s="1370"/>
      <c r="Q35" s="1370"/>
      <c r="R35" s="1370"/>
      <c r="S35" s="1370"/>
      <c r="T35" s="1370"/>
      <c r="U35" s="1370"/>
      <c r="V35" s="1370"/>
      <c r="W35" s="1370"/>
      <c r="X35" s="1370"/>
      <c r="Y35" s="1370"/>
      <c r="Z35" s="1371"/>
    </row>
    <row r="36" spans="1:37" ht="13.5" thickBot="1">
      <c r="A36" s="3441"/>
      <c r="B36" s="2760" t="s">
        <v>2916</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70"/>
      <c r="L36" s="2714"/>
      <c r="M36" s="2714"/>
      <c r="N36" s="1370"/>
      <c r="O36" s="1370"/>
      <c r="P36" s="1370"/>
      <c r="Q36" s="1370"/>
      <c r="R36" s="1370"/>
      <c r="S36" s="1370"/>
      <c r="T36" s="1370"/>
      <c r="U36" s="1370"/>
      <c r="V36" s="1370"/>
      <c r="W36" s="1370"/>
      <c r="X36" s="1370"/>
      <c r="Y36" s="1370"/>
      <c r="Z36" s="1371"/>
    </row>
    <row r="37" spans="1:37">
      <c r="A37" s="2850"/>
      <c r="B37" s="2760" t="s">
        <v>2917</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70"/>
      <c r="L37" s="2851" t="s">
        <v>2918</v>
      </c>
      <c r="M37" s="2852"/>
      <c r="N37" s="1370"/>
      <c r="O37" s="1370"/>
      <c r="P37" s="1370"/>
      <c r="Q37" s="1370"/>
      <c r="R37" s="1370"/>
      <c r="S37" s="1370"/>
      <c r="T37" s="1370"/>
      <c r="U37" s="1370"/>
      <c r="V37" s="1370"/>
      <c r="W37" s="1370"/>
      <c r="X37" s="1370"/>
      <c r="Y37" s="1370"/>
      <c r="Z37" s="1371"/>
    </row>
    <row r="38" spans="1:37">
      <c r="A38" s="2850"/>
      <c r="B38" s="2760" t="s">
        <v>2919</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70"/>
      <c r="L38" s="1886" t="s">
        <v>2920</v>
      </c>
      <c r="M38" s="2853">
        <v>0.25</v>
      </c>
      <c r="N38" s="1370"/>
      <c r="O38" s="1370"/>
      <c r="P38" s="1370"/>
      <c r="Q38" s="1370"/>
      <c r="R38" s="1370"/>
      <c r="S38" s="1370"/>
      <c r="T38" s="1370"/>
      <c r="U38" s="1370"/>
      <c r="V38" s="1370"/>
      <c r="W38" s="1370"/>
      <c r="X38" s="1370"/>
      <c r="Y38" s="1370"/>
      <c r="Z38" s="1371"/>
    </row>
    <row r="39" spans="1:37" ht="13.5" thickBot="1">
      <c r="A39" s="2836"/>
      <c r="B39" s="2854" t="s">
        <v>2921</v>
      </c>
      <c r="C39" s="229" t="e">
        <f>ROUND(D5*C19*C41*C24*F39,0)</f>
        <v>#DIV/0!</v>
      </c>
      <c r="D39" s="2838"/>
      <c r="E39" s="229" t="e">
        <f t="shared" si="7"/>
        <v>#DIV/0!</v>
      </c>
      <c r="F39" s="932">
        <f>SUMIF(修正!A45:A56,G2,修正!H45:H56)</f>
        <v>0</v>
      </c>
      <c r="G39" s="229" t="e">
        <f>ROUND(IF(E2="工业",C39*$M$39,C39*$M$38),0)</f>
        <v>#DIV/0!</v>
      </c>
      <c r="H39" s="229">
        <f t="shared" si="8"/>
        <v>0</v>
      </c>
      <c r="I39" s="229" t="e">
        <f t="shared" si="9"/>
        <v>#DIV/0!</v>
      </c>
      <c r="J39" s="2855"/>
      <c r="K39" s="1370"/>
      <c r="L39" s="2856" t="s">
        <v>2865</v>
      </c>
      <c r="M39" s="285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5" t="s">
        <v>3032</v>
      </c>
      <c r="C41" s="388" t="e">
        <f>ROUND(POWER(1+E41,H41-G41)*(POWER(1+E41,G41)-1)/(POWER(1+E41,H41)-1),4)</f>
        <v>#DIV/0!</v>
      </c>
      <c r="D41" s="200" t="s">
        <v>2872</v>
      </c>
      <c r="E41" s="2924">
        <f>G20</f>
        <v>0</v>
      </c>
      <c r="F41" s="200" t="s">
        <v>2881</v>
      </c>
      <c r="G41" s="218"/>
      <c r="H41" s="200">
        <v>50</v>
      </c>
      <c r="Z41" s="1371"/>
      <c r="AA41" s="1371"/>
      <c r="AB41" s="1371"/>
      <c r="AC41" s="1371"/>
      <c r="AD41" s="1371"/>
      <c r="AE41" s="1371"/>
      <c r="AF41" s="1371"/>
      <c r="AG41" s="1371"/>
      <c r="AH41" s="1371"/>
      <c r="AI41" s="1371"/>
      <c r="AJ41" s="1371"/>
    </row>
    <row r="42" spans="1:37" s="1370" customFormat="1">
      <c r="A42" s="1371"/>
      <c r="B42" s="2858"/>
      <c r="Z42" s="1371"/>
      <c r="AA42" s="1371"/>
      <c r="AB42" s="1371"/>
      <c r="AC42" s="1371"/>
      <c r="AD42" s="1371"/>
      <c r="AE42" s="1371"/>
      <c r="AF42" s="1371"/>
      <c r="AG42" s="1371"/>
      <c r="AH42" s="1371"/>
      <c r="AI42" s="1371"/>
      <c r="AJ42" s="1371"/>
    </row>
    <row r="43" spans="1:37" s="1370" customFormat="1">
      <c r="A43" s="1371"/>
      <c r="B43" s="2858"/>
      <c r="Z43" s="1371"/>
      <c r="AA43" s="1371"/>
      <c r="AB43" s="1371"/>
      <c r="AC43" s="1371"/>
      <c r="AD43" s="1371"/>
      <c r="AE43" s="1371"/>
      <c r="AF43" s="1371"/>
      <c r="AG43" s="1371"/>
      <c r="AH43" s="1371"/>
      <c r="AI43" s="1371"/>
      <c r="AJ43" s="1371"/>
    </row>
    <row r="44" spans="1:37" s="1370" customFormat="1">
      <c r="A44" s="1371"/>
      <c r="B44" s="2858"/>
      <c r="Z44" s="1371"/>
      <c r="AA44" s="1371"/>
      <c r="AB44" s="1371"/>
      <c r="AC44" s="1371"/>
      <c r="AD44" s="1371"/>
      <c r="AE44" s="1371"/>
      <c r="AF44" s="1371"/>
      <c r="AG44" s="1371"/>
      <c r="AH44" s="1371"/>
      <c r="AI44" s="1371"/>
      <c r="AJ44" s="1371"/>
    </row>
    <row r="45" spans="1:37" s="1370" customFormat="1" ht="15.75" thickBot="1">
      <c r="A45" s="2859" t="s">
        <v>2922</v>
      </c>
      <c r="B45" s="2860"/>
      <c r="C45" s="7"/>
      <c r="D45" s="7"/>
      <c r="E45" s="7"/>
      <c r="F45" s="6"/>
      <c r="G45" s="6"/>
      <c r="H45" s="6"/>
      <c r="I45" s="7"/>
      <c r="J45" s="7"/>
      <c r="K45" s="7"/>
      <c r="L45" s="7"/>
      <c r="M45" s="7"/>
      <c r="N45" s="2778"/>
      <c r="Z45" s="1371"/>
      <c r="AA45" s="1371"/>
      <c r="AB45" s="1371"/>
      <c r="AC45" s="1371"/>
      <c r="AD45" s="1371"/>
      <c r="AE45" s="1371"/>
      <c r="AF45" s="1371"/>
      <c r="AG45" s="1371"/>
      <c r="AH45" s="1371"/>
      <c r="AI45" s="1371"/>
      <c r="AJ45" s="1371"/>
    </row>
    <row r="46" spans="1:37" s="1370" customFormat="1" ht="15">
      <c r="A46" s="2861" t="s">
        <v>2923</v>
      </c>
      <c r="B46" s="2862">
        <f>1+E48</f>
        <v>1</v>
      </c>
      <c r="C46" s="2863"/>
      <c r="D46" s="814"/>
      <c r="E46" s="815"/>
      <c r="F46" s="2864"/>
      <c r="G46" s="6"/>
      <c r="H46" s="7"/>
      <c r="I46" s="7"/>
      <c r="J46" s="7"/>
      <c r="K46" s="7"/>
      <c r="L46" s="7"/>
      <c r="M46" s="7"/>
      <c r="N46" s="2778"/>
      <c r="Z46" s="1371"/>
      <c r="AA46" s="1371"/>
      <c r="AB46" s="1371"/>
      <c r="AC46" s="1371"/>
      <c r="AD46" s="1371"/>
      <c r="AE46" s="1371"/>
      <c r="AF46" s="1371"/>
      <c r="AG46" s="1371"/>
      <c r="AH46" s="1371"/>
      <c r="AI46" s="1371"/>
      <c r="AJ46" s="1371"/>
    </row>
    <row r="47" spans="1:37" s="1370" customFormat="1" ht="24.75">
      <c r="A47" s="2865" t="s">
        <v>2924</v>
      </c>
      <c r="B47" s="1808" t="s">
        <v>2925</v>
      </c>
      <c r="C47" s="1808" t="s">
        <v>2926</v>
      </c>
      <c r="D47" s="1808" t="s">
        <v>2927</v>
      </c>
      <c r="E47" s="819" t="s">
        <v>2928</v>
      </c>
      <c r="F47" s="2866" t="s">
        <v>2929</v>
      </c>
      <c r="G47" s="1808" t="s">
        <v>754</v>
      </c>
      <c r="H47" s="2867" t="s">
        <v>2930</v>
      </c>
      <c r="I47" s="1808" t="s">
        <v>2931</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5" t="s">
        <v>2932</v>
      </c>
      <c r="B48" s="2868">
        <f>估价对象房地状况!C4</f>
        <v>0</v>
      </c>
      <c r="C48" s="2765"/>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5" t="s">
        <v>2933</v>
      </c>
      <c r="B49" s="2869" t="str">
        <f>估价对象房地状况!C18</f>
        <v>较好</v>
      </c>
      <c r="C49" s="2765"/>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5" t="s">
        <v>2934</v>
      </c>
      <c r="B50" s="2869">
        <f>估价对象房地状况!C19</f>
        <v>0</v>
      </c>
      <c r="C50" s="2765"/>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5" t="s">
        <v>2935</v>
      </c>
      <c r="B51" s="2870" t="s">
        <v>2936</v>
      </c>
      <c r="C51" s="2765"/>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5" t="s">
        <v>2937</v>
      </c>
      <c r="B52" s="2869" t="str">
        <f>估价对象房地状况!C24</f>
        <v>次干道</v>
      </c>
      <c r="C52" s="2765"/>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5" t="s">
        <v>2938</v>
      </c>
      <c r="B53" s="2871" t="s">
        <v>2939</v>
      </c>
      <c r="C53" s="2765"/>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2" t="s">
        <v>2940</v>
      </c>
      <c r="B54" s="1724" t="str">
        <f>估价对象房地状况!C21</f>
        <v>较好</v>
      </c>
      <c r="C54" s="2765"/>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2" t="s">
        <v>2941</v>
      </c>
      <c r="B55" s="2869" t="str">
        <f>估价对象房地状况!C22</f>
        <v>七通</v>
      </c>
      <c r="C55" s="2765"/>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3" t="s">
        <v>2942</v>
      </c>
      <c r="B56" s="2874" t="str">
        <f>估价对象房地状况!C20</f>
        <v>一般</v>
      </c>
      <c r="C56" s="2765"/>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1" t="s">
        <v>2943</v>
      </c>
      <c r="B57" s="2862">
        <f>1+E59</f>
        <v>1</v>
      </c>
      <c r="C57" s="814"/>
      <c r="D57" s="814"/>
      <c r="E57" s="815"/>
      <c r="F57" s="286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5" t="s">
        <v>2924</v>
      </c>
      <c r="B58" s="1808"/>
      <c r="C58" s="1808" t="s">
        <v>2926</v>
      </c>
      <c r="D58" s="1808" t="s">
        <v>2927</v>
      </c>
      <c r="E58" s="819" t="s">
        <v>2928</v>
      </c>
      <c r="F58" s="2866" t="s">
        <v>2944</v>
      </c>
      <c r="G58" s="1808" t="s">
        <v>754</v>
      </c>
      <c r="H58" s="2867" t="s">
        <v>2930</v>
      </c>
      <c r="I58" s="1808" t="s">
        <v>2931</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5" t="s">
        <v>2945</v>
      </c>
      <c r="B59" s="2868">
        <f>估价对象房地状况!C17</f>
        <v>0</v>
      </c>
      <c r="C59" s="2765"/>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5" t="s">
        <v>2933</v>
      </c>
      <c r="B60" s="2869" t="str">
        <f>估价对象房地状况!C18</f>
        <v>较好</v>
      </c>
      <c r="C60" s="2765"/>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5" t="s">
        <v>2934</v>
      </c>
      <c r="B61" s="2869">
        <f>估价对象房地状况!C19</f>
        <v>0</v>
      </c>
      <c r="C61" s="2765"/>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5" t="s">
        <v>2935</v>
      </c>
      <c r="B62" s="2870" t="s">
        <v>2936</v>
      </c>
      <c r="C62" s="2765"/>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5" t="s">
        <v>2937</v>
      </c>
      <c r="B63" s="2869" t="str">
        <f>估价对象房地状况!C24</f>
        <v>次干道</v>
      </c>
      <c r="C63" s="2765"/>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5" t="s">
        <v>2938</v>
      </c>
      <c r="B64" s="2871" t="s">
        <v>2939</v>
      </c>
      <c r="C64" s="2765"/>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5" t="s">
        <v>2940</v>
      </c>
      <c r="B65" s="1724" t="str">
        <f>估价对象房地状况!C21</f>
        <v>较好</v>
      </c>
      <c r="C65" s="2765"/>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5" t="s">
        <v>2941</v>
      </c>
      <c r="B66" s="1724" t="str">
        <f>估价对象房地状况!C22</f>
        <v>七通</v>
      </c>
      <c r="C66" s="2765"/>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3" t="s">
        <v>2942</v>
      </c>
      <c r="B67" s="2875" t="str">
        <f>估价对象房地状况!C20</f>
        <v>一般</v>
      </c>
      <c r="C67" s="2765"/>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1" t="s">
        <v>2946</v>
      </c>
      <c r="B68" s="2862">
        <f>1+E70</f>
        <v>1</v>
      </c>
      <c r="C68" s="814"/>
      <c r="D68" s="814"/>
      <c r="E68" s="815"/>
      <c r="F68" s="286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5" t="s">
        <v>2924</v>
      </c>
      <c r="B69" s="1808"/>
      <c r="C69" s="1808" t="s">
        <v>2926</v>
      </c>
      <c r="D69" s="1808" t="s">
        <v>2927</v>
      </c>
      <c r="E69" s="819" t="s">
        <v>2928</v>
      </c>
      <c r="F69" s="2866" t="s">
        <v>2944</v>
      </c>
      <c r="G69" s="1808" t="s">
        <v>754</v>
      </c>
      <c r="H69" s="2867" t="s">
        <v>2930</v>
      </c>
      <c r="I69" s="1808" t="s">
        <v>2931</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5" t="s">
        <v>2947</v>
      </c>
      <c r="B70" s="2868" t="str">
        <f>估价对象房地状况!C15</f>
        <v>较好</v>
      </c>
      <c r="C70" s="2765"/>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5" t="s">
        <v>2933</v>
      </c>
      <c r="B71" s="2869" t="str">
        <f>估价对象房地状况!C18</f>
        <v>较好</v>
      </c>
      <c r="C71" s="2765"/>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5" t="s">
        <v>2934</v>
      </c>
      <c r="B72" s="2869">
        <f>估价对象房地状况!C19</f>
        <v>0</v>
      </c>
      <c r="C72" s="2765"/>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5" t="s">
        <v>2948</v>
      </c>
      <c r="B73" s="2869" t="str">
        <f>估价对象房地状况!C24</f>
        <v>次干道</v>
      </c>
      <c r="C73" s="2765"/>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5" t="s">
        <v>2940</v>
      </c>
      <c r="B74" s="1724" t="str">
        <f>估价对象房地状况!C21</f>
        <v>较好</v>
      </c>
      <c r="C74" s="2765"/>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5" t="s">
        <v>2941</v>
      </c>
      <c r="B75" s="1724" t="str">
        <f>估价对象房地状况!C22</f>
        <v>七通</v>
      </c>
      <c r="C75" s="2765"/>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65" t="s">
        <v>2938</v>
      </c>
      <c r="B76" s="2871" t="s">
        <v>2939</v>
      </c>
      <c r="C76" s="2765"/>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6"/>
      <c r="AB76" s="1371"/>
      <c r="AC76" s="1371"/>
      <c r="AD76" s="1371"/>
      <c r="AE76" s="1371"/>
      <c r="AF76" s="1371"/>
      <c r="AG76" s="1371"/>
      <c r="AH76" s="2876"/>
      <c r="AI76" s="2876"/>
      <c r="AJ76" s="2876"/>
      <c r="AK76" s="2876"/>
    </row>
    <row r="77" spans="1:37" ht="24">
      <c r="A77" s="2865" t="s">
        <v>2942</v>
      </c>
      <c r="B77" s="2868" t="str">
        <f>估价对象房地状况!C20</f>
        <v>一般</v>
      </c>
      <c r="C77" s="2765"/>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5"/>
      <c r="AA77" s="2783"/>
      <c r="AG77" s="1372"/>
      <c r="AK77" s="2783"/>
    </row>
    <row r="78" spans="1:37" ht="24.75" thickBot="1">
      <c r="A78" s="2873" t="s">
        <v>2949</v>
      </c>
      <c r="B78" s="2877"/>
      <c r="C78" s="2765"/>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5"/>
      <c r="AA78" s="2783"/>
      <c r="AG78" s="1372"/>
      <c r="AK78" s="2783"/>
    </row>
    <row r="79" spans="1:37" ht="15">
      <c r="A79" s="2861" t="s">
        <v>2950</v>
      </c>
      <c r="B79" s="2862">
        <f>1+E81</f>
        <v>1</v>
      </c>
      <c r="C79" s="814"/>
      <c r="D79" s="814"/>
      <c r="E79" s="815"/>
      <c r="F79" s="2864"/>
      <c r="G79" s="6"/>
      <c r="H79" s="6"/>
      <c r="I79" s="6"/>
      <c r="J79" s="7"/>
      <c r="K79" s="7"/>
      <c r="L79" s="7"/>
      <c r="M79" s="7"/>
      <c r="N79" s="7"/>
      <c r="Z79" s="2715"/>
      <c r="AA79" s="2783"/>
      <c r="AG79" s="1372"/>
      <c r="AK79" s="2783"/>
    </row>
    <row r="80" spans="1:37" ht="24.75">
      <c r="A80" s="2865" t="s">
        <v>2924</v>
      </c>
      <c r="B80" s="1808"/>
      <c r="C80" s="1808" t="s">
        <v>2926</v>
      </c>
      <c r="D80" s="1808" t="s">
        <v>2927</v>
      </c>
      <c r="E80" s="819" t="s">
        <v>2928</v>
      </c>
      <c r="F80" s="2866" t="s">
        <v>2944</v>
      </c>
      <c r="G80" s="1808" t="s">
        <v>754</v>
      </c>
      <c r="H80" s="2867" t="s">
        <v>2930</v>
      </c>
      <c r="I80" s="1808" t="s">
        <v>2931</v>
      </c>
      <c r="J80" s="603" t="s">
        <v>2582</v>
      </c>
      <c r="K80" s="603" t="s">
        <v>2583</v>
      </c>
      <c r="L80" s="603" t="s">
        <v>2584</v>
      </c>
      <c r="M80" s="603" t="s">
        <v>2585</v>
      </c>
      <c r="N80" s="603" t="s">
        <v>2586</v>
      </c>
      <c r="Z80" s="2715"/>
      <c r="AA80" s="2783"/>
      <c r="AG80" s="1372"/>
      <c r="AK80" s="2783"/>
    </row>
    <row r="81" spans="1:37" ht="24">
      <c r="A81" s="2865" t="s">
        <v>2951</v>
      </c>
      <c r="B81" s="2869">
        <f>估价对象房地状况!G15</f>
        <v>0</v>
      </c>
      <c r="C81" s="2765"/>
      <c r="D81" s="1286">
        <f t="shared" ref="D81:D88" si="25">SUMIF($J$80:$N$80,C81,J81:N81)</f>
        <v>0</v>
      </c>
      <c r="E81" s="821">
        <f>ROUND(SUM(D81:D88),4)</f>
        <v>0</v>
      </c>
      <c r="F81" s="2497"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5"/>
      <c r="AA81" s="2783"/>
      <c r="AG81" s="1372"/>
      <c r="AK81" s="2783"/>
    </row>
    <row r="82" spans="1:37" ht="14.25">
      <c r="A82" s="2865" t="s">
        <v>2933</v>
      </c>
      <c r="B82" s="2869">
        <f>估价对象房地状况!G16</f>
        <v>0</v>
      </c>
      <c r="C82" s="2765"/>
      <c r="D82" s="1286">
        <f t="shared" si="25"/>
        <v>0</v>
      </c>
      <c r="E82" s="826"/>
      <c r="F82" s="2497"/>
      <c r="G82" s="1284"/>
      <c r="H82" s="1288" t="str">
        <f t="shared" si="26"/>
        <v>——</v>
      </c>
      <c r="I82" s="820">
        <v>0.33</v>
      </c>
      <c r="J82" s="1285">
        <f t="shared" si="27"/>
        <v>0</v>
      </c>
      <c r="K82" s="1285">
        <f t="shared" si="28"/>
        <v>0</v>
      </c>
      <c r="L82" s="1285">
        <v>0</v>
      </c>
      <c r="M82" s="1285">
        <f t="shared" si="29"/>
        <v>0</v>
      </c>
      <c r="N82" s="1285">
        <f t="shared" si="29"/>
        <v>0</v>
      </c>
      <c r="Z82" s="2715"/>
      <c r="AA82" s="2783"/>
      <c r="AG82" s="1372"/>
      <c r="AK82" s="2783"/>
    </row>
    <row r="83" spans="1:37" ht="24">
      <c r="A83" s="2865" t="s">
        <v>2934</v>
      </c>
      <c r="B83" s="2869">
        <f>估价对象房地状况!G17</f>
        <v>0</v>
      </c>
      <c r="C83" s="2765"/>
      <c r="D83" s="1286">
        <f t="shared" si="25"/>
        <v>0</v>
      </c>
      <c r="E83" s="826"/>
      <c r="F83" s="2497"/>
      <c r="G83" s="1284"/>
      <c r="H83" s="1288" t="str">
        <f t="shared" si="26"/>
        <v>——</v>
      </c>
      <c r="I83" s="820">
        <v>0.05</v>
      </c>
      <c r="J83" s="1285">
        <f t="shared" si="27"/>
        <v>0</v>
      </c>
      <c r="K83" s="1285">
        <f t="shared" si="28"/>
        <v>0</v>
      </c>
      <c r="L83" s="1285">
        <v>0</v>
      </c>
      <c r="M83" s="1285">
        <f t="shared" si="29"/>
        <v>0</v>
      </c>
      <c r="N83" s="1285">
        <f t="shared" si="29"/>
        <v>0</v>
      </c>
      <c r="Z83" s="2715"/>
      <c r="AA83" s="2783"/>
      <c r="AG83" s="1372"/>
      <c r="AK83" s="2783"/>
    </row>
    <row r="84" spans="1:37" ht="14.25">
      <c r="A84" s="2865" t="s">
        <v>2948</v>
      </c>
      <c r="B84" s="2869">
        <f>估价对象房地状况!G22</f>
        <v>0</v>
      </c>
      <c r="C84" s="2765"/>
      <c r="D84" s="1286">
        <f t="shared" si="25"/>
        <v>0</v>
      </c>
      <c r="E84" s="826"/>
      <c r="F84" s="2497"/>
      <c r="G84" s="1284"/>
      <c r="H84" s="1288" t="str">
        <f t="shared" si="26"/>
        <v>——</v>
      </c>
      <c r="I84" s="820">
        <v>0.04</v>
      </c>
      <c r="J84" s="1285">
        <f t="shared" si="27"/>
        <v>0</v>
      </c>
      <c r="K84" s="1285">
        <f t="shared" si="28"/>
        <v>0</v>
      </c>
      <c r="L84" s="1285">
        <v>0</v>
      </c>
      <c r="M84" s="1285">
        <f t="shared" si="29"/>
        <v>0</v>
      </c>
      <c r="N84" s="1285">
        <f t="shared" si="29"/>
        <v>0</v>
      </c>
      <c r="Z84" s="2715"/>
      <c r="AA84" s="2783"/>
      <c r="AG84" s="1372"/>
      <c r="AK84" s="2783"/>
    </row>
    <row r="85" spans="1:37" ht="24">
      <c r="A85" s="2865" t="s">
        <v>2940</v>
      </c>
      <c r="B85" s="1724">
        <f>估价对象房地状况!G19</f>
        <v>0</v>
      </c>
      <c r="C85" s="2765"/>
      <c r="D85" s="1286">
        <f t="shared" si="25"/>
        <v>0</v>
      </c>
      <c r="E85" s="826"/>
      <c r="F85" s="2497"/>
      <c r="G85" s="1284"/>
      <c r="H85" s="1288" t="str">
        <f t="shared" si="26"/>
        <v>——</v>
      </c>
      <c r="I85" s="820">
        <v>0.06</v>
      </c>
      <c r="J85" s="1285">
        <f t="shared" si="27"/>
        <v>0</v>
      </c>
      <c r="K85" s="1285">
        <f t="shared" si="28"/>
        <v>0</v>
      </c>
      <c r="L85" s="1285">
        <v>0</v>
      </c>
      <c r="M85" s="1285">
        <f t="shared" si="29"/>
        <v>0</v>
      </c>
      <c r="N85" s="1285">
        <f t="shared" si="29"/>
        <v>0</v>
      </c>
      <c r="Z85" s="2715"/>
      <c r="AA85" s="2783"/>
      <c r="AG85" s="1372"/>
      <c r="AK85" s="2783"/>
    </row>
    <row r="86" spans="1:37" ht="24">
      <c r="A86" s="2865" t="s">
        <v>2941</v>
      </c>
      <c r="B86" s="1724">
        <f>估价对象房地状况!G20</f>
        <v>0</v>
      </c>
      <c r="C86" s="2765"/>
      <c r="D86" s="1286">
        <f t="shared" si="25"/>
        <v>0</v>
      </c>
      <c r="E86" s="826"/>
      <c r="F86" s="2497"/>
      <c r="G86" s="1284"/>
      <c r="H86" s="1288" t="str">
        <f t="shared" si="26"/>
        <v>——</v>
      </c>
      <c r="I86" s="820">
        <v>0.15</v>
      </c>
      <c r="J86" s="1285">
        <f t="shared" si="27"/>
        <v>0</v>
      </c>
      <c r="K86" s="1285">
        <f t="shared" si="28"/>
        <v>0</v>
      </c>
      <c r="L86" s="1285">
        <v>0</v>
      </c>
      <c r="M86" s="1285">
        <f t="shared" si="29"/>
        <v>0</v>
      </c>
      <c r="N86" s="1285">
        <f t="shared" si="29"/>
        <v>0</v>
      </c>
      <c r="Z86" s="2715"/>
      <c r="AA86" s="2783"/>
      <c r="AG86" s="1372"/>
      <c r="AK86" s="2783"/>
    </row>
    <row r="87" spans="1:37" ht="24">
      <c r="A87" s="2865" t="s">
        <v>2938</v>
      </c>
      <c r="B87" s="2871" t="s">
        <v>2952</v>
      </c>
      <c r="C87" s="2765"/>
      <c r="D87" s="1286">
        <f t="shared" si="25"/>
        <v>0</v>
      </c>
      <c r="E87" s="826"/>
      <c r="F87" s="2497"/>
      <c r="G87" s="1284"/>
      <c r="H87" s="1288" t="str">
        <f t="shared" si="26"/>
        <v>——</v>
      </c>
      <c r="I87" s="820">
        <v>0.05</v>
      </c>
      <c r="J87" s="1285">
        <f t="shared" si="27"/>
        <v>0</v>
      </c>
      <c r="K87" s="1285">
        <f t="shared" si="28"/>
        <v>0</v>
      </c>
      <c r="L87" s="1285">
        <v>0</v>
      </c>
      <c r="M87" s="1285">
        <f t="shared" si="29"/>
        <v>0</v>
      </c>
      <c r="N87" s="1285">
        <f t="shared" si="29"/>
        <v>0</v>
      </c>
      <c r="Z87" s="2715"/>
      <c r="AA87" s="2783"/>
      <c r="AG87" s="1372"/>
      <c r="AK87" s="2783"/>
    </row>
    <row r="88" spans="1:37" ht="15" thickBot="1">
      <c r="A88" s="2873" t="s">
        <v>2953</v>
      </c>
      <c r="B88" s="2878">
        <f>估价对象房地状况!G18</f>
        <v>0</v>
      </c>
      <c r="C88" s="2765"/>
      <c r="D88" s="1286">
        <f t="shared" si="25"/>
        <v>0</v>
      </c>
      <c r="E88" s="827"/>
      <c r="F88" s="2497"/>
      <c r="G88" s="1284"/>
      <c r="H88" s="1288" t="str">
        <f t="shared" si="26"/>
        <v>——</v>
      </c>
      <c r="I88" s="824">
        <v>0.06</v>
      </c>
      <c r="J88" s="1285">
        <f t="shared" si="27"/>
        <v>0</v>
      </c>
      <c r="K88" s="1285">
        <f t="shared" si="28"/>
        <v>0</v>
      </c>
      <c r="L88" s="1285">
        <v>0</v>
      </c>
      <c r="M88" s="1285">
        <f t="shared" si="29"/>
        <v>0</v>
      </c>
      <c r="N88" s="1285">
        <f t="shared" si="29"/>
        <v>0</v>
      </c>
      <c r="Z88" s="2715"/>
      <c r="AA88" s="2783"/>
      <c r="AG88" s="1372"/>
      <c r="AK88" s="2783"/>
    </row>
    <row r="90" spans="1:37">
      <c r="A90" s="3433" t="s">
        <v>2954</v>
      </c>
      <c r="B90" s="3433"/>
      <c r="C90" s="3433"/>
      <c r="D90" s="3433"/>
      <c r="E90" s="3433"/>
      <c r="F90" s="3433"/>
      <c r="G90" s="3433"/>
      <c r="H90" s="3433"/>
      <c r="I90" s="3433"/>
      <c r="J90" s="3433"/>
      <c r="K90" s="2879"/>
      <c r="L90" s="2879"/>
      <c r="M90" s="2879"/>
      <c r="N90" s="2879"/>
    </row>
    <row r="91" spans="1:37">
      <c r="A91" s="3435" t="s">
        <v>2955</v>
      </c>
      <c r="B91" s="3435" t="s">
        <v>2956</v>
      </c>
      <c r="C91" s="2833" t="s">
        <v>2957</v>
      </c>
      <c r="D91" s="2834"/>
      <c r="E91" s="2834"/>
      <c r="F91" s="2834"/>
      <c r="G91" s="2834"/>
      <c r="H91" s="2834"/>
      <c r="I91" s="2834"/>
      <c r="J91" s="2880"/>
      <c r="K91" s="2881"/>
      <c r="L91" s="2881"/>
      <c r="M91" s="2881"/>
      <c r="N91" s="2881"/>
    </row>
    <row r="92" spans="1:37">
      <c r="A92" s="3435"/>
      <c r="B92" s="3435"/>
      <c r="C92" s="942" t="s">
        <v>2824</v>
      </c>
      <c r="D92" s="942" t="s">
        <v>2825</v>
      </c>
      <c r="E92" s="942" t="s">
        <v>2826</v>
      </c>
      <c r="F92" s="942" t="s">
        <v>2827</v>
      </c>
      <c r="G92" s="942" t="s">
        <v>2828</v>
      </c>
      <c r="H92" s="942" t="s">
        <v>2829</v>
      </c>
      <c r="I92" s="942" t="s">
        <v>2830</v>
      </c>
      <c r="J92" s="942" t="s">
        <v>2831</v>
      </c>
      <c r="K92" s="942" t="s">
        <v>2832</v>
      </c>
      <c r="L92" s="942" t="s">
        <v>2833</v>
      </c>
      <c r="M92" s="942" t="s">
        <v>2834</v>
      </c>
      <c r="N92" s="942" t="s">
        <v>2835</v>
      </c>
    </row>
    <row r="93" spans="1:37">
      <c r="A93" s="3436" t="s">
        <v>2958</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437"/>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437"/>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437"/>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437"/>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437"/>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437"/>
      <c r="B99" s="2882" t="s">
        <v>2840</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438"/>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436" t="s">
        <v>2959</v>
      </c>
      <c r="B101" s="2886" t="s">
        <v>2960</v>
      </c>
      <c r="C101" s="2887">
        <f>$G$3</f>
        <v>2</v>
      </c>
      <c r="D101" s="2887">
        <f t="shared" ref="D101:N101" si="31">$G$3</f>
        <v>2</v>
      </c>
      <c r="E101" s="2887">
        <f t="shared" si="31"/>
        <v>2</v>
      </c>
      <c r="F101" s="2887">
        <f t="shared" si="31"/>
        <v>2</v>
      </c>
      <c r="G101" s="2887">
        <f t="shared" si="31"/>
        <v>2</v>
      </c>
      <c r="H101" s="2887">
        <f t="shared" si="31"/>
        <v>2</v>
      </c>
      <c r="I101" s="2887">
        <f t="shared" si="31"/>
        <v>2</v>
      </c>
      <c r="J101" s="2887">
        <f t="shared" si="31"/>
        <v>2</v>
      </c>
      <c r="K101" s="2887">
        <f t="shared" si="31"/>
        <v>2</v>
      </c>
      <c r="L101" s="2887">
        <f t="shared" si="31"/>
        <v>2</v>
      </c>
      <c r="M101" s="2887">
        <f t="shared" si="31"/>
        <v>2</v>
      </c>
      <c r="N101" s="2887">
        <f t="shared" si="31"/>
        <v>2</v>
      </c>
    </row>
    <row r="102" spans="1:14">
      <c r="A102" s="3437"/>
      <c r="B102" s="2882">
        <v>1</v>
      </c>
      <c r="C102" s="2883">
        <f>1.9362/C101</f>
        <v>0.96809999999999996</v>
      </c>
      <c r="D102" s="2883">
        <f>1.9362/D101</f>
        <v>0.96809999999999996</v>
      </c>
      <c r="E102" s="2883">
        <f>1.8629/E101</f>
        <v>0.93145</v>
      </c>
      <c r="F102" s="2883">
        <f>1.8629/F101</f>
        <v>0.93145</v>
      </c>
      <c r="G102" s="2883">
        <f>1.8629/G101</f>
        <v>0.93145</v>
      </c>
      <c r="H102" s="2883">
        <f>1.8629/H101</f>
        <v>0.93145</v>
      </c>
      <c r="I102" s="2883">
        <f>1.8629/I101</f>
        <v>0.93145</v>
      </c>
      <c r="J102" s="2883">
        <f>1.942/J101</f>
        <v>0.97099999999999997</v>
      </c>
      <c r="K102" s="2883">
        <f>1.942/K101</f>
        <v>0.97099999999999997</v>
      </c>
      <c r="L102" s="2883">
        <f>1.942/L101</f>
        <v>0.97099999999999997</v>
      </c>
      <c r="M102" s="2883">
        <f>1.942/M101</f>
        <v>0.97099999999999997</v>
      </c>
      <c r="N102" s="2883">
        <f>1.942/N101</f>
        <v>0.97099999999999997</v>
      </c>
    </row>
    <row r="103" spans="1:14">
      <c r="A103" s="3437"/>
      <c r="B103" s="2882">
        <v>2</v>
      </c>
      <c r="C103" s="2883">
        <f>1.4198/C101</f>
        <v>0.70989999999999998</v>
      </c>
      <c r="D103" s="2883">
        <f>1.4198/D101</f>
        <v>0.70989999999999998</v>
      </c>
      <c r="E103" s="2883">
        <f>1.3372/E101</f>
        <v>0.66859999999999997</v>
      </c>
      <c r="F103" s="2883">
        <f>1.3372/F101</f>
        <v>0.66859999999999997</v>
      </c>
      <c r="G103" s="2883">
        <f>1.3372/G101</f>
        <v>0.66859999999999997</v>
      </c>
      <c r="H103" s="2883">
        <f>1.3372/H101</f>
        <v>0.66859999999999997</v>
      </c>
      <c r="I103" s="2883">
        <f>1.3372/I101</f>
        <v>0.66859999999999997</v>
      </c>
      <c r="J103" s="2883">
        <f>1.2799/J101</f>
        <v>0.63995000000000002</v>
      </c>
      <c r="K103" s="2883">
        <f>1.2799/K101</f>
        <v>0.63995000000000002</v>
      </c>
      <c r="L103" s="2883">
        <f>1.2799/L101</f>
        <v>0.63995000000000002</v>
      </c>
      <c r="M103" s="2883">
        <f>1.2799/M101</f>
        <v>0.63995000000000002</v>
      </c>
      <c r="N103" s="2883">
        <f>1.2799/N101</f>
        <v>0.63995000000000002</v>
      </c>
    </row>
    <row r="104" spans="1:14">
      <c r="A104" s="3437"/>
      <c r="B104" s="2882">
        <v>3</v>
      </c>
      <c r="C104" s="2883">
        <f>1.1594/C101</f>
        <v>0.57969999999999999</v>
      </c>
      <c r="D104" s="2883">
        <f>1.1594/D101</f>
        <v>0.57969999999999999</v>
      </c>
      <c r="E104" s="2883">
        <f>1.0788/E101</f>
        <v>0.53939999999999999</v>
      </c>
      <c r="F104" s="2883">
        <f>1.0788/F101</f>
        <v>0.53939999999999999</v>
      </c>
      <c r="G104" s="2883">
        <f>1.0788/G101</f>
        <v>0.53939999999999999</v>
      </c>
      <c r="H104" s="2883">
        <f>1.0788/H101</f>
        <v>0.53939999999999999</v>
      </c>
      <c r="I104" s="2883">
        <f>1.0788/I101</f>
        <v>0.53939999999999999</v>
      </c>
      <c r="J104" s="2883">
        <f>1.0072/J101</f>
        <v>0.50360000000000005</v>
      </c>
      <c r="K104" s="2883">
        <f>1.0072/K101</f>
        <v>0.50360000000000005</v>
      </c>
      <c r="L104" s="2883">
        <f>1.0072/L101</f>
        <v>0.50360000000000005</v>
      </c>
      <c r="M104" s="2883">
        <f>1.0072/M101</f>
        <v>0.50360000000000005</v>
      </c>
      <c r="N104" s="2883">
        <f>1.0072/N101</f>
        <v>0.50360000000000005</v>
      </c>
    </row>
    <row r="105" spans="1:14">
      <c r="A105" s="3437"/>
      <c r="B105" s="2882">
        <v>4</v>
      </c>
      <c r="C105" s="2883">
        <f>0.9622/C101</f>
        <v>0.48110000000000003</v>
      </c>
      <c r="D105" s="2883">
        <f>0.9622/D101</f>
        <v>0.48110000000000003</v>
      </c>
      <c r="E105" s="2883">
        <f>0.8656/E101</f>
        <v>0.43280000000000002</v>
      </c>
      <c r="F105" s="2883">
        <f>0.8656/F101</f>
        <v>0.43280000000000002</v>
      </c>
      <c r="G105" s="2883">
        <f>0.8656/G101</f>
        <v>0.43280000000000002</v>
      </c>
      <c r="H105" s="2883">
        <f>0.8656/H101</f>
        <v>0.43280000000000002</v>
      </c>
      <c r="I105" s="2883">
        <f>0.8656/I101</f>
        <v>0.43280000000000002</v>
      </c>
      <c r="J105" s="2883">
        <f>0.7525/J101</f>
        <v>0.37624999999999997</v>
      </c>
      <c r="K105" s="2883">
        <f>0.7525/K101</f>
        <v>0.37624999999999997</v>
      </c>
      <c r="L105" s="2883">
        <f>0.7525/L101</f>
        <v>0.37624999999999997</v>
      </c>
      <c r="M105" s="2883">
        <f>0.7525/M101</f>
        <v>0.37624999999999997</v>
      </c>
      <c r="N105" s="2883">
        <f>0.7525/N101</f>
        <v>0.37624999999999997</v>
      </c>
    </row>
    <row r="106" spans="1:14">
      <c r="A106" s="3437"/>
      <c r="B106" s="2882">
        <v>5</v>
      </c>
      <c r="C106" s="2883">
        <f>0.8417/C101</f>
        <v>0.42085</v>
      </c>
      <c r="D106" s="2883">
        <f>0.8417/D101</f>
        <v>0.42085</v>
      </c>
      <c r="E106" s="2883">
        <f>0.7371/E101</f>
        <v>0.36854999999999999</v>
      </c>
      <c r="F106" s="2883">
        <f>0.7371/F101</f>
        <v>0.36854999999999999</v>
      </c>
      <c r="G106" s="2883">
        <f>0.7371/G101</f>
        <v>0.36854999999999999</v>
      </c>
      <c r="H106" s="2883">
        <f>0.7371/H101</f>
        <v>0.36854999999999999</v>
      </c>
      <c r="I106" s="2883">
        <f>0.7371/I101</f>
        <v>0.36854999999999999</v>
      </c>
      <c r="J106" s="2883">
        <f>0.5659/J101</f>
        <v>0.28294999999999998</v>
      </c>
      <c r="K106" s="2883">
        <f>0.5659/K101</f>
        <v>0.28294999999999998</v>
      </c>
      <c r="L106" s="2883">
        <f>0.5659/L101</f>
        <v>0.28294999999999998</v>
      </c>
      <c r="M106" s="2883">
        <f>0.5659/M101</f>
        <v>0.28294999999999998</v>
      </c>
      <c r="N106" s="2883">
        <f>0.5659/N101</f>
        <v>0.28294999999999998</v>
      </c>
    </row>
    <row r="107" spans="1:14">
      <c r="A107" s="3437"/>
      <c r="B107" s="2882">
        <v>6</v>
      </c>
      <c r="C107" s="2883">
        <f>0.7608/C101</f>
        <v>0.38040000000000002</v>
      </c>
      <c r="D107" s="2883">
        <f>0.7608/D101</f>
        <v>0.38040000000000002</v>
      </c>
      <c r="E107" s="2883">
        <f>0.6482/E101</f>
        <v>0.3241</v>
      </c>
      <c r="F107" s="2883">
        <f>0.6482/F101</f>
        <v>0.3241</v>
      </c>
      <c r="G107" s="2883">
        <f>0.6482/G101</f>
        <v>0.3241</v>
      </c>
      <c r="H107" s="2883">
        <f>0.6482/H101</f>
        <v>0.3241</v>
      </c>
      <c r="I107" s="2883">
        <f>0.6482/I101</f>
        <v>0.3241</v>
      </c>
      <c r="J107" s="2883">
        <f>0.4525/J101</f>
        <v>0.22625000000000001</v>
      </c>
      <c r="K107" s="2883">
        <f>0.4525/K101</f>
        <v>0.22625000000000001</v>
      </c>
      <c r="L107" s="2883">
        <f>0.4525/L101</f>
        <v>0.22625000000000001</v>
      </c>
      <c r="M107" s="2883">
        <f>0.4525/M101</f>
        <v>0.22625000000000001</v>
      </c>
      <c r="N107" s="2883">
        <f>0.4525/N101</f>
        <v>0.22625000000000001</v>
      </c>
    </row>
    <row r="108" spans="1:14">
      <c r="A108" s="3437"/>
      <c r="B108" s="3259" t="s">
        <v>2961</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438"/>
      <c r="B109" s="3260"/>
      <c r="C109" s="2885">
        <f>(-0.163*(C108^2)-0.59*C108+7617)*(10^(-4))/C101</f>
        <v>0.38085000000000002</v>
      </c>
      <c r="D109" s="2885">
        <f>(-0.163*(D108^2)-0.59*D108+7617)*(10^(-4))/D101</f>
        <v>0.38085000000000002</v>
      </c>
      <c r="E109" s="2885">
        <f>(-0.161*(E108^2)-7.509*E108+6533)*(10^(-4))/E101</f>
        <v>0.32665</v>
      </c>
      <c r="F109" s="2885">
        <f>(-0.161*(F108^2)-7.509*F108+6533)*(10^(-4))/F101</f>
        <v>0.32665</v>
      </c>
      <c r="G109" s="2885">
        <f>(-0.161*(G108^2)-7.509*G108+6533)*(10^(-4))/G101</f>
        <v>0.32665</v>
      </c>
      <c r="H109" s="2885">
        <f>(-0.161*(H108^2)-7.509*H108+6533)*(10^(-4))/H101</f>
        <v>0.32665</v>
      </c>
      <c r="I109" s="2885">
        <f>(-0.161*(I108^2)-7.509*I108+6533)*(10^(-4))/I101</f>
        <v>0.32665</v>
      </c>
      <c r="J109" s="2885">
        <f>(-0.214*(J108^2)-21.991*J108+4665)*(10^(-4))/J101</f>
        <v>0.23325000000000001</v>
      </c>
      <c r="K109" s="2885">
        <f>(-0.214*(K108^2)-21.991*K108+4665)*(10^(-4))/K101</f>
        <v>0.23325000000000001</v>
      </c>
      <c r="L109" s="2885">
        <f>(-0.214*(L108^2)-21.991*L108+4665)*(10^(-4))/L101</f>
        <v>0.23325000000000001</v>
      </c>
      <c r="M109" s="2885">
        <f>(-0.214*(M108^2)-21.991*M108+4665)*(10^(-4))/M101</f>
        <v>0.23325000000000001</v>
      </c>
      <c r="N109" s="2885">
        <f>(-0.214*(N108^2)-21.991*N108+4665)*(10^(-4))/N101</f>
        <v>0.23325000000000001</v>
      </c>
    </row>
    <row r="110" spans="1:14">
      <c r="A110" s="3434" t="s">
        <v>2962</v>
      </c>
      <c r="B110" s="3434"/>
      <c r="C110" s="3434"/>
      <c r="D110" s="3434"/>
      <c r="E110" s="3434"/>
      <c r="F110" s="3434"/>
      <c r="G110" s="3434"/>
      <c r="H110" s="3434"/>
      <c r="I110" s="3434"/>
      <c r="J110" s="3434"/>
      <c r="K110" s="2888"/>
      <c r="L110" s="2888"/>
      <c r="M110" s="2888"/>
      <c r="N110" s="2888"/>
    </row>
    <row r="112" spans="1:14" ht="13.5" thickBot="1"/>
    <row r="113" spans="1:13" ht="25.5" thickBot="1">
      <c r="A113" s="903" t="s">
        <v>2963</v>
      </c>
      <c r="B113" s="1287">
        <f>G3</f>
        <v>2</v>
      </c>
      <c r="C113" s="904" t="s">
        <v>2964</v>
      </c>
      <c r="D113" s="905">
        <f>SUMPRODUCT((A115:A118=F113)*(B114:M114=H113)*B115:M118)</f>
        <v>0</v>
      </c>
      <c r="E113" s="2719" t="s">
        <v>2798</v>
      </c>
      <c r="F113" s="2890">
        <f>E2</f>
        <v>0</v>
      </c>
      <c r="G113" s="2719" t="s">
        <v>2799</v>
      </c>
      <c r="H113" s="2890">
        <f>G2</f>
        <v>0</v>
      </c>
      <c r="I113" s="2719"/>
      <c r="J113" s="2891"/>
      <c r="K113" s="2891"/>
      <c r="L113" s="2891"/>
      <c r="M113" s="2891"/>
    </row>
    <row r="114" spans="1:13">
      <c r="A114" s="908"/>
      <c r="B114" s="2892" t="s">
        <v>2965</v>
      </c>
      <c r="C114" s="2892" t="s">
        <v>2966</v>
      </c>
      <c r="D114" s="2892" t="s">
        <v>2967</v>
      </c>
      <c r="E114" s="2893" t="s">
        <v>2968</v>
      </c>
      <c r="F114" s="2893" t="s">
        <v>2969</v>
      </c>
      <c r="G114" s="2893" t="s">
        <v>2970</v>
      </c>
      <c r="H114" s="2894" t="s">
        <v>2971</v>
      </c>
      <c r="I114" s="2894" t="s">
        <v>2972</v>
      </c>
      <c r="J114" s="2895" t="s">
        <v>2973</v>
      </c>
      <c r="K114" s="2895" t="s">
        <v>2974</v>
      </c>
      <c r="L114" s="2895" t="s">
        <v>2975</v>
      </c>
      <c r="M114" s="2896" t="s">
        <v>2976</v>
      </c>
    </row>
    <row r="115" spans="1:13">
      <c r="A115" s="909" t="s">
        <v>2862</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3">I115</f>
        <v>0.65800000000000003</v>
      </c>
      <c r="K115" s="910">
        <f t="shared" si="33"/>
        <v>0.65800000000000003</v>
      </c>
      <c r="L115" s="910">
        <f t="shared" si="33"/>
        <v>0.65800000000000003</v>
      </c>
      <c r="M115" s="911">
        <f t="shared" si="33"/>
        <v>0.65800000000000003</v>
      </c>
    </row>
    <row r="116" spans="1:13">
      <c r="A116" s="909" t="s">
        <v>2863</v>
      </c>
      <c r="B116" s="910">
        <f>ROUND(0.949-0.012*B113,4)</f>
        <v>0.92500000000000004</v>
      </c>
      <c r="C116" s="910">
        <f>B116</f>
        <v>0.92500000000000004</v>
      </c>
      <c r="D116" s="910">
        <f>ROUND(0.8567-0.013*B113,4)</f>
        <v>0.83069999999999999</v>
      </c>
      <c r="E116" s="910">
        <f t="shared" ref="E116:H117" si="34">D116</f>
        <v>0.83069999999999999</v>
      </c>
      <c r="F116" s="910">
        <f t="shared" si="34"/>
        <v>0.83069999999999999</v>
      </c>
      <c r="G116" s="910">
        <f t="shared" si="34"/>
        <v>0.83069999999999999</v>
      </c>
      <c r="H116" s="910">
        <f t="shared" si="34"/>
        <v>0.83069999999999999</v>
      </c>
      <c r="I116" s="910">
        <f>ROUND(0.7694-0.014*B113,4)</f>
        <v>0.74139999999999995</v>
      </c>
      <c r="J116" s="910">
        <f t="shared" si="33"/>
        <v>0.74139999999999995</v>
      </c>
      <c r="K116" s="910">
        <f t="shared" si="33"/>
        <v>0.74139999999999995</v>
      </c>
      <c r="L116" s="910">
        <f t="shared" si="33"/>
        <v>0.74139999999999995</v>
      </c>
      <c r="M116" s="911">
        <f t="shared" si="33"/>
        <v>0.74139999999999995</v>
      </c>
    </row>
    <row r="117" spans="1:13">
      <c r="A117" s="909" t="s">
        <v>2864</v>
      </c>
      <c r="B117" s="910">
        <f>ROUND(0.8808-0.006*B113,4)</f>
        <v>0.86880000000000002</v>
      </c>
      <c r="C117" s="910">
        <f>B117</f>
        <v>0.86880000000000002</v>
      </c>
      <c r="D117" s="910">
        <f>ROUND(0.8748-0.008*B113,4)</f>
        <v>0.85880000000000001</v>
      </c>
      <c r="E117" s="910">
        <f t="shared" si="34"/>
        <v>0.85880000000000001</v>
      </c>
      <c r="F117" s="910">
        <f t="shared" si="34"/>
        <v>0.85880000000000001</v>
      </c>
      <c r="G117" s="910">
        <f t="shared" si="34"/>
        <v>0.85880000000000001</v>
      </c>
      <c r="H117" s="910">
        <f t="shared" si="34"/>
        <v>0.85880000000000001</v>
      </c>
      <c r="I117" s="910">
        <f>ROUND(0.7412-0.0095*B113,4)</f>
        <v>0.72219999999999995</v>
      </c>
      <c r="J117" s="910">
        <f t="shared" si="33"/>
        <v>0.72219999999999995</v>
      </c>
      <c r="K117" s="910">
        <f t="shared" si="33"/>
        <v>0.72219999999999995</v>
      </c>
      <c r="L117" s="910">
        <f t="shared" si="33"/>
        <v>0.72219999999999995</v>
      </c>
      <c r="M117" s="911">
        <f t="shared" si="33"/>
        <v>0.72219999999999995</v>
      </c>
    </row>
    <row r="118" spans="1:13" ht="13.5" thickBot="1">
      <c r="A118" s="714" t="s">
        <v>2865</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3"/>
        <v>0.53949999999999998</v>
      </c>
      <c r="K118" s="912">
        <f t="shared" si="33"/>
        <v>0.53949999999999998</v>
      </c>
      <c r="L118" s="912">
        <f t="shared" si="33"/>
        <v>0.53949999999999998</v>
      </c>
      <c r="M118" s="913">
        <f t="shared" si="33"/>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454" t="s">
        <v>183</v>
      </c>
      <c r="B18" s="882" t="s">
        <v>560</v>
      </c>
      <c r="C18" s="883" t="s">
        <v>561</v>
      </c>
      <c r="D18" s="884"/>
      <c r="E18" s="882">
        <v>1</v>
      </c>
      <c r="F18" s="885" t="s">
        <v>562</v>
      </c>
      <c r="G18" s="886"/>
      <c r="H18" s="878"/>
      <c r="I18" s="878"/>
    </row>
    <row r="19" spans="1:9" s="887" customFormat="1" ht="19.5" customHeight="1">
      <c r="A19" s="3454"/>
      <c r="B19" s="3454" t="s">
        <v>563</v>
      </c>
      <c r="C19" s="883" t="s">
        <v>564</v>
      </c>
      <c r="D19" s="884"/>
      <c r="E19" s="882">
        <v>0.9</v>
      </c>
      <c r="F19" s="885" t="s">
        <v>565</v>
      </c>
      <c r="G19" s="886"/>
      <c r="H19" s="878"/>
      <c r="I19" s="878"/>
    </row>
    <row r="20" spans="1:9" s="887" customFormat="1" ht="19.5" customHeight="1">
      <c r="A20" s="3454"/>
      <c r="B20" s="3454"/>
      <c r="C20" s="883" t="s">
        <v>566</v>
      </c>
      <c r="D20" s="884"/>
      <c r="E20" s="882">
        <v>1.1000000000000001</v>
      </c>
      <c r="F20" s="885" t="s">
        <v>567</v>
      </c>
      <c r="G20" s="886"/>
      <c r="H20" s="878"/>
      <c r="I20" s="878"/>
    </row>
    <row r="21" spans="1:9" s="887" customFormat="1" ht="19.5" customHeight="1">
      <c r="A21" s="3454"/>
      <c r="B21" s="3454"/>
      <c r="C21" s="883" t="s">
        <v>568</v>
      </c>
      <c r="D21" s="884"/>
      <c r="E21" s="882">
        <v>0.8</v>
      </c>
      <c r="F21" s="885" t="s">
        <v>569</v>
      </c>
      <c r="G21" s="886"/>
      <c r="H21" s="878"/>
      <c r="I21" s="878"/>
    </row>
    <row r="22" spans="1:9" s="887" customFormat="1" ht="19.5" customHeight="1">
      <c r="A22" s="3454"/>
      <c r="B22" s="3454"/>
      <c r="C22" s="883" t="s">
        <v>570</v>
      </c>
      <c r="D22" s="884"/>
      <c r="E22" s="882">
        <v>0.5</v>
      </c>
      <c r="F22" s="885"/>
      <c r="G22" s="886"/>
      <c r="H22" s="878"/>
      <c r="I22" s="878"/>
    </row>
    <row r="23" spans="1:9" s="887" customFormat="1" ht="19.5" customHeight="1">
      <c r="A23" s="3454" t="s">
        <v>184</v>
      </c>
      <c r="B23" s="882" t="s">
        <v>560</v>
      </c>
      <c r="C23" s="883" t="s">
        <v>571</v>
      </c>
      <c r="D23" s="884"/>
      <c r="E23" s="882">
        <v>1</v>
      </c>
      <c r="F23" s="885" t="s">
        <v>572</v>
      </c>
      <c r="G23" s="886"/>
      <c r="H23" s="878"/>
      <c r="I23" s="878"/>
    </row>
    <row r="24" spans="1:9" s="887" customFormat="1" ht="19.5" customHeight="1">
      <c r="A24" s="3454"/>
      <c r="B24" s="3454" t="s">
        <v>563</v>
      </c>
      <c r="C24" s="883" t="s">
        <v>573</v>
      </c>
      <c r="D24" s="884"/>
      <c r="E24" s="882">
        <v>0.5</v>
      </c>
      <c r="F24" s="885"/>
      <c r="G24" s="886"/>
      <c r="H24" s="878"/>
      <c r="I24" s="878"/>
    </row>
    <row r="25" spans="1:9" s="887" customFormat="1" ht="19.5" customHeight="1">
      <c r="A25" s="3454"/>
      <c r="B25" s="3454"/>
      <c r="C25" s="883" t="s">
        <v>574</v>
      </c>
      <c r="D25" s="884"/>
      <c r="E25" s="882">
        <v>1.1000000000000001</v>
      </c>
      <c r="F25" s="885"/>
      <c r="G25" s="886"/>
      <c r="H25" s="878"/>
      <c r="I25" s="878"/>
    </row>
    <row r="26" spans="1:9" s="887" customFormat="1" ht="19.5" customHeight="1">
      <c r="A26" s="3454"/>
      <c r="B26" s="3454"/>
      <c r="C26" s="883" t="s">
        <v>575</v>
      </c>
      <c r="D26" s="884"/>
      <c r="E26" s="882">
        <v>1.1000000000000001</v>
      </c>
      <c r="F26" s="885"/>
      <c r="G26" s="886"/>
      <c r="H26" s="878"/>
      <c r="I26" s="878"/>
    </row>
    <row r="27" spans="1:9" s="887" customFormat="1" ht="19.5" customHeight="1">
      <c r="A27" s="3454"/>
      <c r="B27" s="3454"/>
      <c r="C27" s="883" t="s">
        <v>576</v>
      </c>
      <c r="D27" s="884"/>
      <c r="E27" s="882">
        <v>0.9</v>
      </c>
      <c r="F27" s="885" t="s">
        <v>577</v>
      </c>
      <c r="G27" s="886"/>
      <c r="H27" s="878"/>
      <c r="I27" s="878"/>
    </row>
    <row r="28" spans="1:9" s="887" customFormat="1" ht="19.5" customHeight="1">
      <c r="A28" s="3454"/>
      <c r="B28" s="3454"/>
      <c r="C28" s="883" t="s">
        <v>578</v>
      </c>
      <c r="D28" s="884"/>
      <c r="E28" s="882">
        <v>0.9</v>
      </c>
      <c r="F28" s="885" t="s">
        <v>579</v>
      </c>
      <c r="G28" s="886"/>
      <c r="H28" s="878"/>
      <c r="I28" s="878"/>
    </row>
    <row r="29" spans="1:9" s="887" customFormat="1" ht="19.5" customHeight="1">
      <c r="A29" s="3454"/>
      <c r="B29" s="3454"/>
      <c r="C29" s="883" t="s">
        <v>580</v>
      </c>
      <c r="D29" s="884"/>
      <c r="E29" s="882">
        <v>0.9</v>
      </c>
      <c r="F29" s="885" t="s">
        <v>581</v>
      </c>
      <c r="G29" s="886"/>
      <c r="H29" s="878"/>
      <c r="I29" s="878"/>
    </row>
    <row r="30" spans="1:9" s="887" customFormat="1" ht="19.5" customHeight="1">
      <c r="A30" s="3454"/>
      <c r="B30" s="3454"/>
      <c r="C30" s="883" t="s">
        <v>582</v>
      </c>
      <c r="D30" s="884"/>
      <c r="E30" s="882">
        <v>0.9</v>
      </c>
      <c r="F30" s="885" t="s">
        <v>583</v>
      </c>
      <c r="G30" s="886"/>
      <c r="H30" s="878"/>
      <c r="I30" s="878"/>
    </row>
    <row r="31" spans="1:9" s="887" customFormat="1" ht="19.5" customHeight="1">
      <c r="A31" s="3454"/>
      <c r="B31" s="3454"/>
      <c r="C31" s="883" t="s">
        <v>584</v>
      </c>
      <c r="D31" s="884"/>
      <c r="E31" s="882">
        <v>0.8</v>
      </c>
      <c r="F31" s="885" t="s">
        <v>585</v>
      </c>
      <c r="G31" s="886"/>
      <c r="H31" s="878"/>
      <c r="I31" s="878"/>
    </row>
    <row r="32" spans="1:9" s="887" customFormat="1" ht="19.5" customHeight="1">
      <c r="A32" s="3454"/>
      <c r="B32" s="3454"/>
      <c r="C32" s="883" t="s">
        <v>586</v>
      </c>
      <c r="D32" s="884"/>
      <c r="E32" s="882">
        <v>0.8</v>
      </c>
      <c r="F32" s="885" t="s">
        <v>587</v>
      </c>
      <c r="G32" s="886"/>
      <c r="H32" s="878"/>
      <c r="I32" s="878"/>
    </row>
    <row r="33" spans="1:9" s="887" customFormat="1" ht="19.5" customHeight="1">
      <c r="A33" s="3454" t="s">
        <v>185</v>
      </c>
      <c r="B33" s="882" t="s">
        <v>560</v>
      </c>
      <c r="C33" s="883" t="s">
        <v>588</v>
      </c>
      <c r="D33" s="884"/>
      <c r="E33" s="882">
        <v>1</v>
      </c>
      <c r="F33" s="885" t="s">
        <v>589</v>
      </c>
      <c r="G33" s="886"/>
      <c r="H33" s="878"/>
      <c r="I33" s="878"/>
    </row>
    <row r="34" spans="1:9" s="887" customFormat="1" ht="19.5" customHeight="1">
      <c r="A34" s="3454"/>
      <c r="B34" s="882" t="s">
        <v>563</v>
      </c>
      <c r="C34" s="883" t="s">
        <v>590</v>
      </c>
      <c r="D34" s="884"/>
      <c r="E34" s="882">
        <v>1.5</v>
      </c>
      <c r="F34" s="885" t="s">
        <v>591</v>
      </c>
      <c r="G34" s="886"/>
      <c r="H34" s="878"/>
      <c r="I34" s="878"/>
    </row>
    <row r="35" spans="1:9" s="887" customFormat="1" ht="19.5" customHeight="1">
      <c r="A35" s="3454" t="s">
        <v>186</v>
      </c>
      <c r="B35" s="882" t="s">
        <v>560</v>
      </c>
      <c r="C35" s="883" t="s">
        <v>592</v>
      </c>
      <c r="D35" s="884"/>
      <c r="E35" s="882">
        <v>1</v>
      </c>
      <c r="F35" s="885" t="s">
        <v>593</v>
      </c>
      <c r="G35" s="886"/>
      <c r="H35" s="878"/>
      <c r="I35" s="878"/>
    </row>
    <row r="36" spans="1:9" s="887" customFormat="1" ht="19.5" customHeight="1">
      <c r="A36" s="3454"/>
      <c r="B36" s="3454" t="s">
        <v>563</v>
      </c>
      <c r="C36" s="883" t="s">
        <v>594</v>
      </c>
      <c r="D36" s="884"/>
      <c r="E36" s="882">
        <v>1</v>
      </c>
      <c r="F36" s="885" t="s">
        <v>595</v>
      </c>
      <c r="G36" s="886"/>
      <c r="H36" s="878"/>
      <c r="I36" s="878"/>
    </row>
    <row r="37" spans="1:9" s="887" customFormat="1" ht="19.5" customHeight="1">
      <c r="A37" s="3454"/>
      <c r="B37" s="3454"/>
      <c r="C37" s="883" t="s">
        <v>596</v>
      </c>
      <c r="D37" s="884"/>
      <c r="E37" s="882">
        <v>1.5</v>
      </c>
      <c r="F37" s="885" t="s">
        <v>597</v>
      </c>
      <c r="G37" s="886"/>
      <c r="H37" s="878"/>
      <c r="I37" s="878"/>
    </row>
    <row r="38" spans="1:9" s="887" customFormat="1" ht="19.5" customHeight="1">
      <c r="A38" s="3454"/>
      <c r="B38" s="3454"/>
      <c r="C38" s="883" t="s">
        <v>598</v>
      </c>
      <c r="D38" s="884"/>
      <c r="E38" s="882">
        <v>1</v>
      </c>
      <c r="F38" s="885" t="s">
        <v>599</v>
      </c>
      <c r="G38" s="886"/>
      <c r="H38" s="878"/>
      <c r="I38" s="878"/>
    </row>
    <row r="39" spans="1:9" s="887" customFormat="1" ht="19.5" customHeight="1">
      <c r="A39" s="3454"/>
      <c r="B39" s="34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454" t="s">
        <v>614</v>
      </c>
      <c r="C61" s="818" t="s">
        <v>615</v>
      </c>
      <c r="D61" s="818" t="s">
        <v>616</v>
      </c>
      <c r="E61" s="895">
        <v>0.5</v>
      </c>
      <c r="F61" s="882">
        <v>80</v>
      </c>
    </row>
    <row r="62" spans="1:8" s="878" customFormat="1" ht="24">
      <c r="A62" s="882">
        <v>2</v>
      </c>
      <c r="B62" s="3454"/>
      <c r="C62" s="818" t="s">
        <v>617</v>
      </c>
      <c r="D62" s="818" t="s">
        <v>618</v>
      </c>
      <c r="E62" s="895">
        <v>0.5</v>
      </c>
      <c r="F62" s="882">
        <v>80</v>
      </c>
    </row>
    <row r="63" spans="1:8" s="878" customFormat="1" ht="36">
      <c r="A63" s="882">
        <v>3</v>
      </c>
      <c r="B63" s="3454"/>
      <c r="C63" s="818" t="s">
        <v>619</v>
      </c>
      <c r="D63" s="818" t="s">
        <v>620</v>
      </c>
      <c r="E63" s="895">
        <v>0.5</v>
      </c>
      <c r="F63" s="882">
        <v>80</v>
      </c>
    </row>
    <row r="64" spans="1:8" s="878" customFormat="1" ht="36">
      <c r="A64" s="882">
        <v>4</v>
      </c>
      <c r="B64" s="3454"/>
      <c r="C64" s="818" t="s">
        <v>621</v>
      </c>
      <c r="D64" s="818" t="s">
        <v>622</v>
      </c>
      <c r="E64" s="895">
        <v>0.4</v>
      </c>
      <c r="F64" s="882">
        <v>60</v>
      </c>
    </row>
    <row r="65" spans="1:6" s="878" customFormat="1" ht="36">
      <c r="A65" s="882">
        <v>5</v>
      </c>
      <c r="B65" s="3454"/>
      <c r="C65" s="818" t="s">
        <v>623</v>
      </c>
      <c r="D65" s="818" t="s">
        <v>624</v>
      </c>
      <c r="E65" s="895">
        <v>0.2</v>
      </c>
      <c r="F65" s="882">
        <v>30</v>
      </c>
    </row>
    <row r="66" spans="1:6" s="878" customFormat="1" ht="36">
      <c r="A66" s="882">
        <v>6</v>
      </c>
      <c r="B66" s="3454"/>
      <c r="C66" s="818" t="s">
        <v>625</v>
      </c>
      <c r="D66" s="818" t="s">
        <v>626</v>
      </c>
      <c r="E66" s="895">
        <v>0.3</v>
      </c>
      <c r="F66" s="882">
        <v>50</v>
      </c>
    </row>
    <row r="67" spans="1:6" s="878" customFormat="1" ht="36">
      <c r="A67" s="882">
        <v>7</v>
      </c>
      <c r="B67" s="3454"/>
      <c r="C67" s="818" t="s">
        <v>627</v>
      </c>
      <c r="D67" s="818" t="s">
        <v>628</v>
      </c>
      <c r="E67" s="895">
        <v>0.2</v>
      </c>
      <c r="F67" s="882">
        <v>30</v>
      </c>
    </row>
    <row r="68" spans="1:6" s="878" customFormat="1" ht="36">
      <c r="A68" s="882">
        <v>8</v>
      </c>
      <c r="B68" s="3454"/>
      <c r="C68" s="818" t="s">
        <v>629</v>
      </c>
      <c r="D68" s="818" t="s">
        <v>630</v>
      </c>
      <c r="E68" s="895">
        <v>0.2</v>
      </c>
      <c r="F68" s="882">
        <v>30</v>
      </c>
    </row>
    <row r="69" spans="1:6" s="878" customFormat="1" ht="36">
      <c r="A69" s="882">
        <v>9</v>
      </c>
      <c r="B69" s="3454"/>
      <c r="C69" s="818" t="s">
        <v>631</v>
      </c>
      <c r="D69" s="818" t="s">
        <v>632</v>
      </c>
      <c r="E69" s="895">
        <v>0.2</v>
      </c>
      <c r="F69" s="882">
        <v>30</v>
      </c>
    </row>
    <row r="70" spans="1:6" s="878" customFormat="1" ht="48">
      <c r="A70" s="882">
        <v>10</v>
      </c>
      <c r="B70" s="3454"/>
      <c r="C70" s="818" t="s">
        <v>633</v>
      </c>
      <c r="D70" s="818" t="s">
        <v>634</v>
      </c>
      <c r="E70" s="895">
        <v>0.2</v>
      </c>
      <c r="F70" s="882">
        <v>30</v>
      </c>
    </row>
    <row r="71" spans="1:6" s="878" customFormat="1" ht="48">
      <c r="A71" s="882">
        <v>11</v>
      </c>
      <c r="B71" s="3454"/>
      <c r="C71" s="818" t="s">
        <v>635</v>
      </c>
      <c r="D71" s="818" t="s">
        <v>636</v>
      </c>
      <c r="E71" s="895">
        <v>0.2</v>
      </c>
      <c r="F71" s="882">
        <v>30</v>
      </c>
    </row>
    <row r="72" spans="1:6" s="878" customFormat="1" ht="36">
      <c r="A72" s="882">
        <v>12</v>
      </c>
      <c r="B72" s="3454"/>
      <c r="C72" s="818" t="s">
        <v>637</v>
      </c>
      <c r="D72" s="818" t="s">
        <v>638</v>
      </c>
      <c r="E72" s="895">
        <v>0.5</v>
      </c>
      <c r="F72" s="882">
        <v>80</v>
      </c>
    </row>
    <row r="73" spans="1:6" s="878" customFormat="1" ht="24">
      <c r="A73" s="882">
        <v>13</v>
      </c>
      <c r="B73" s="3454"/>
      <c r="C73" s="818" t="s">
        <v>639</v>
      </c>
      <c r="D73" s="818" t="s">
        <v>640</v>
      </c>
      <c r="E73" s="895">
        <v>0.4</v>
      </c>
      <c r="F73" s="882">
        <v>60</v>
      </c>
    </row>
    <row r="74" spans="1:6" s="878" customFormat="1" ht="24">
      <c r="A74" s="882">
        <v>14</v>
      </c>
      <c r="B74" s="3454"/>
      <c r="C74" s="818" t="s">
        <v>641</v>
      </c>
      <c r="D74" s="818" t="s">
        <v>642</v>
      </c>
      <c r="E74" s="895">
        <v>0.2</v>
      </c>
      <c r="F74" s="882">
        <v>30</v>
      </c>
    </row>
    <row r="75" spans="1:6" s="878" customFormat="1" ht="24">
      <c r="A75" s="882">
        <v>15</v>
      </c>
      <c r="B75" s="3454"/>
      <c r="C75" s="818" t="s">
        <v>643</v>
      </c>
      <c r="D75" s="818" t="s">
        <v>644</v>
      </c>
      <c r="E75" s="895">
        <v>0.2</v>
      </c>
      <c r="F75" s="882">
        <v>30</v>
      </c>
    </row>
    <row r="76" spans="1:6" s="878" customFormat="1" ht="24">
      <c r="A76" s="882">
        <v>16</v>
      </c>
      <c r="B76" s="3454" t="s">
        <v>645</v>
      </c>
      <c r="C76" s="818" t="s">
        <v>646</v>
      </c>
      <c r="D76" s="818" t="s">
        <v>647</v>
      </c>
      <c r="E76" s="895">
        <v>0.5</v>
      </c>
      <c r="F76" s="882">
        <v>80</v>
      </c>
    </row>
    <row r="77" spans="1:6" s="878" customFormat="1" ht="24">
      <c r="A77" s="882">
        <v>17</v>
      </c>
      <c r="B77" s="3454"/>
      <c r="C77" s="818" t="s">
        <v>648</v>
      </c>
      <c r="D77" s="818" t="s">
        <v>649</v>
      </c>
      <c r="E77" s="895">
        <v>0.5</v>
      </c>
      <c r="F77" s="882">
        <v>80</v>
      </c>
    </row>
    <row r="78" spans="1:6" s="878" customFormat="1" ht="24">
      <c r="A78" s="882">
        <v>18</v>
      </c>
      <c r="B78" s="3454"/>
      <c r="C78" s="818" t="s">
        <v>650</v>
      </c>
      <c r="D78" s="818" t="s">
        <v>651</v>
      </c>
      <c r="E78" s="895">
        <v>0.2</v>
      </c>
      <c r="F78" s="882">
        <v>30</v>
      </c>
    </row>
    <row r="79" spans="1:6" s="878" customFormat="1" ht="24">
      <c r="A79" s="882">
        <v>19</v>
      </c>
      <c r="B79" s="3454"/>
      <c r="C79" s="818" t="s">
        <v>652</v>
      </c>
      <c r="D79" s="818" t="s">
        <v>653</v>
      </c>
      <c r="E79" s="895">
        <v>0.5</v>
      </c>
      <c r="F79" s="882">
        <v>80</v>
      </c>
    </row>
    <row r="80" spans="1:6" s="878" customFormat="1" ht="36">
      <c r="A80" s="882">
        <v>20</v>
      </c>
      <c r="B80" s="3454"/>
      <c r="C80" s="818" t="s">
        <v>654</v>
      </c>
      <c r="D80" s="818" t="s">
        <v>655</v>
      </c>
      <c r="E80" s="895">
        <v>0.2</v>
      </c>
      <c r="F80" s="882">
        <v>30</v>
      </c>
    </row>
    <row r="81" spans="1:6" s="878" customFormat="1" ht="36">
      <c r="A81" s="882">
        <v>21</v>
      </c>
      <c r="B81" s="3454"/>
      <c r="C81" s="818" t="s">
        <v>656</v>
      </c>
      <c r="D81" s="818" t="s">
        <v>657</v>
      </c>
      <c r="E81" s="895">
        <v>0.2</v>
      </c>
      <c r="F81" s="882">
        <v>30</v>
      </c>
    </row>
    <row r="82" spans="1:6" s="878" customFormat="1" ht="48">
      <c r="A82" s="882">
        <v>22</v>
      </c>
      <c r="B82" s="3454"/>
      <c r="C82" s="818" t="s">
        <v>658</v>
      </c>
      <c r="D82" s="818" t="s">
        <v>659</v>
      </c>
      <c r="E82" s="895">
        <v>0.2</v>
      </c>
      <c r="F82" s="882">
        <v>30</v>
      </c>
    </row>
    <row r="83" spans="1:6" s="878" customFormat="1" ht="48">
      <c r="A83" s="882">
        <v>23</v>
      </c>
      <c r="B83" s="3454"/>
      <c r="C83" s="818" t="s">
        <v>660</v>
      </c>
      <c r="D83" s="818" t="s">
        <v>661</v>
      </c>
      <c r="E83" s="895">
        <v>0.2</v>
      </c>
      <c r="F83" s="882">
        <v>30</v>
      </c>
    </row>
    <row r="84" spans="1:6" s="878" customFormat="1" ht="36">
      <c r="A84" s="882">
        <v>24</v>
      </c>
      <c r="B84" s="3454"/>
      <c r="C84" s="818" t="s">
        <v>662</v>
      </c>
      <c r="D84" s="818" t="s">
        <v>663</v>
      </c>
      <c r="E84" s="895">
        <v>0.2</v>
      </c>
      <c r="F84" s="882">
        <v>30</v>
      </c>
    </row>
    <row r="85" spans="1:6" s="878" customFormat="1" ht="36">
      <c r="A85" s="882">
        <v>25</v>
      </c>
      <c r="B85" s="3454"/>
      <c r="C85" s="818" t="s">
        <v>664</v>
      </c>
      <c r="D85" s="818" t="s">
        <v>665</v>
      </c>
      <c r="E85" s="895">
        <v>0.5</v>
      </c>
      <c r="F85" s="882">
        <v>80</v>
      </c>
    </row>
    <row r="86" spans="1:6" s="878" customFormat="1" ht="36">
      <c r="A86" s="882">
        <v>26</v>
      </c>
      <c r="B86" s="3454"/>
      <c r="C86" s="818" t="s">
        <v>666</v>
      </c>
      <c r="D86" s="818" t="s">
        <v>667</v>
      </c>
      <c r="E86" s="895">
        <v>0.2</v>
      </c>
      <c r="F86" s="882">
        <v>30</v>
      </c>
    </row>
    <row r="87" spans="1:6" s="878" customFormat="1" ht="36">
      <c r="A87" s="882">
        <v>27</v>
      </c>
      <c r="B87" s="3454"/>
      <c r="C87" s="818" t="s">
        <v>668</v>
      </c>
      <c r="D87" s="818" t="s">
        <v>669</v>
      </c>
      <c r="E87" s="895">
        <v>0.2</v>
      </c>
      <c r="F87" s="882">
        <v>30</v>
      </c>
    </row>
    <row r="88" spans="1:6" s="878" customFormat="1" ht="36">
      <c r="A88" s="882">
        <v>28</v>
      </c>
      <c r="B88" s="3454"/>
      <c r="C88" s="818" t="s">
        <v>670</v>
      </c>
      <c r="D88" s="818" t="s">
        <v>671</v>
      </c>
      <c r="E88" s="895">
        <v>0.2</v>
      </c>
      <c r="F88" s="882">
        <v>30</v>
      </c>
    </row>
    <row r="89" spans="1:6" s="878" customFormat="1" ht="24">
      <c r="A89" s="882">
        <v>29</v>
      </c>
      <c r="B89" s="3454"/>
      <c r="C89" s="818" t="s">
        <v>672</v>
      </c>
      <c r="D89" s="818" t="s">
        <v>673</v>
      </c>
      <c r="E89" s="895">
        <v>0.2</v>
      </c>
      <c r="F89" s="882">
        <v>30</v>
      </c>
    </row>
    <row r="90" spans="1:6" s="878" customFormat="1" ht="24">
      <c r="A90" s="882">
        <v>30</v>
      </c>
      <c r="B90" s="3454"/>
      <c r="C90" s="818" t="s">
        <v>674</v>
      </c>
      <c r="D90" s="818" t="s">
        <v>675</v>
      </c>
      <c r="E90" s="895">
        <v>0.2</v>
      </c>
      <c r="F90" s="882">
        <v>30</v>
      </c>
    </row>
    <row r="91" spans="1:6" s="878" customFormat="1" ht="36">
      <c r="A91" s="882">
        <v>31</v>
      </c>
      <c r="B91" s="3454"/>
      <c r="C91" s="818" t="s">
        <v>676</v>
      </c>
      <c r="D91" s="818" t="s">
        <v>677</v>
      </c>
      <c r="E91" s="895">
        <v>0.2</v>
      </c>
      <c r="F91" s="882">
        <v>30</v>
      </c>
    </row>
    <row r="92" spans="1:6" s="878" customFormat="1" ht="24">
      <c r="A92" s="882">
        <v>32</v>
      </c>
      <c r="B92" s="3454" t="s">
        <v>678</v>
      </c>
      <c r="C92" s="882" t="s">
        <v>679</v>
      </c>
      <c r="D92" s="818" t="s">
        <v>680</v>
      </c>
      <c r="E92" s="895">
        <v>0.2</v>
      </c>
      <c r="F92" s="882">
        <v>30</v>
      </c>
    </row>
    <row r="93" spans="1:6" s="878" customFormat="1" ht="36">
      <c r="A93" s="882">
        <v>33</v>
      </c>
      <c r="B93" s="3454"/>
      <c r="C93" s="882" t="s">
        <v>681</v>
      </c>
      <c r="D93" s="818" t="s">
        <v>682</v>
      </c>
      <c r="E93" s="895">
        <v>0.2</v>
      </c>
      <c r="F93" s="882">
        <v>30</v>
      </c>
    </row>
    <row r="94" spans="1:6" s="878" customFormat="1" ht="48">
      <c r="A94" s="882">
        <v>34</v>
      </c>
      <c r="B94" s="3454"/>
      <c r="C94" s="882" t="s">
        <v>683</v>
      </c>
      <c r="D94" s="818" t="s">
        <v>684</v>
      </c>
      <c r="E94" s="895">
        <v>0.2</v>
      </c>
      <c r="F94" s="882">
        <v>30</v>
      </c>
    </row>
    <row r="95" spans="1:6" s="878" customFormat="1" ht="36">
      <c r="A95" s="882">
        <v>35</v>
      </c>
      <c r="B95" s="3454"/>
      <c r="C95" s="882" t="s">
        <v>685</v>
      </c>
      <c r="D95" s="818" t="s">
        <v>686</v>
      </c>
      <c r="E95" s="895">
        <v>0.2</v>
      </c>
      <c r="F95" s="882">
        <v>30</v>
      </c>
    </row>
    <row r="96" spans="1:6" s="878" customFormat="1" ht="48">
      <c r="A96" s="882">
        <v>36</v>
      </c>
      <c r="B96" s="3454"/>
      <c r="C96" s="818" t="s">
        <v>687</v>
      </c>
      <c r="D96" s="818" t="s">
        <v>688</v>
      </c>
      <c r="E96" s="895">
        <v>0.2</v>
      </c>
      <c r="F96" s="882">
        <v>30</v>
      </c>
    </row>
    <row r="97" spans="1:6" s="878" customFormat="1" ht="36">
      <c r="A97" s="882">
        <v>37</v>
      </c>
      <c r="B97" s="3454"/>
      <c r="C97" s="882" t="s">
        <v>689</v>
      </c>
      <c r="D97" s="818" t="s">
        <v>690</v>
      </c>
      <c r="E97" s="895">
        <v>0.2</v>
      </c>
      <c r="F97" s="882">
        <v>30</v>
      </c>
    </row>
    <row r="98" spans="1:6" s="878" customFormat="1" ht="36">
      <c r="A98" s="882">
        <v>38</v>
      </c>
      <c r="B98" s="3454"/>
      <c r="C98" s="882" t="s">
        <v>691</v>
      </c>
      <c r="D98" s="818" t="s">
        <v>692</v>
      </c>
      <c r="E98" s="895">
        <v>0.2</v>
      </c>
      <c r="F98" s="882">
        <v>30</v>
      </c>
    </row>
    <row r="99" spans="1:6" s="878" customFormat="1" ht="36">
      <c r="A99" s="882">
        <v>39</v>
      </c>
      <c r="B99" s="3454" t="s">
        <v>693</v>
      </c>
      <c r="C99" s="882" t="s">
        <v>694</v>
      </c>
      <c r="D99" s="818" t="s">
        <v>695</v>
      </c>
      <c r="E99" s="895">
        <v>0.3</v>
      </c>
      <c r="F99" s="882">
        <v>50</v>
      </c>
    </row>
    <row r="100" spans="1:6" s="878" customFormat="1" ht="24">
      <c r="A100" s="882">
        <v>40</v>
      </c>
      <c r="B100" s="3454"/>
      <c r="C100" s="882" t="s">
        <v>696</v>
      </c>
      <c r="D100" s="818" t="s">
        <v>697</v>
      </c>
      <c r="E100" s="895">
        <v>0.2</v>
      </c>
      <c r="F100" s="882">
        <v>30</v>
      </c>
    </row>
    <row r="101" spans="1:6" s="878" customFormat="1" ht="36">
      <c r="A101" s="882">
        <v>41</v>
      </c>
      <c r="B101" s="345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54" t="s">
        <v>708</v>
      </c>
      <c r="C105" s="882" t="s">
        <v>709</v>
      </c>
      <c r="D105" s="818" t="s">
        <v>710</v>
      </c>
      <c r="E105" s="895">
        <v>0.2</v>
      </c>
      <c r="F105" s="882">
        <v>30</v>
      </c>
    </row>
    <row r="106" spans="1:6" s="878" customFormat="1" ht="36">
      <c r="A106" s="882">
        <v>46</v>
      </c>
      <c r="B106" s="3454"/>
      <c r="C106" s="882" t="s">
        <v>711</v>
      </c>
      <c r="D106" s="818" t="s">
        <v>712</v>
      </c>
      <c r="E106" s="895">
        <v>0.2</v>
      </c>
      <c r="F106" s="882">
        <v>30</v>
      </c>
    </row>
    <row r="107" spans="1:6" s="878" customFormat="1" ht="36">
      <c r="A107" s="882">
        <v>47</v>
      </c>
      <c r="B107" s="3454" t="s">
        <v>713</v>
      </c>
      <c r="C107" s="882" t="s">
        <v>714</v>
      </c>
      <c r="D107" s="818" t="s">
        <v>715</v>
      </c>
      <c r="E107" s="895">
        <v>0.3</v>
      </c>
      <c r="F107" s="882">
        <v>50</v>
      </c>
    </row>
    <row r="108" spans="1:6" s="878" customFormat="1" ht="36">
      <c r="A108" s="882">
        <v>48</v>
      </c>
      <c r="B108" s="34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54" t="s">
        <v>724</v>
      </c>
      <c r="C111" s="882" t="s">
        <v>725</v>
      </c>
      <c r="D111" s="818" t="s">
        <v>726</v>
      </c>
      <c r="E111" s="895">
        <v>0.2</v>
      </c>
      <c r="F111" s="882">
        <v>30</v>
      </c>
    </row>
    <row r="112" spans="1:6" s="878" customFormat="1" ht="24">
      <c r="A112" s="882">
        <v>52</v>
      </c>
      <c r="B112" s="3454"/>
      <c r="C112" s="882" t="s">
        <v>727</v>
      </c>
      <c r="D112" s="818" t="s">
        <v>728</v>
      </c>
      <c r="E112" s="895">
        <v>0.2</v>
      </c>
      <c r="F112" s="882">
        <v>30</v>
      </c>
    </row>
    <row r="113" spans="1:6" s="878" customFormat="1" ht="24">
      <c r="A113" s="882">
        <v>53</v>
      </c>
      <c r="B113" s="345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54" t="s">
        <v>737</v>
      </c>
      <c r="C116" s="882" t="s">
        <v>738</v>
      </c>
      <c r="D116" s="818" t="s">
        <v>739</v>
      </c>
      <c r="E116" s="895">
        <v>0.2</v>
      </c>
      <c r="F116" s="882">
        <v>30</v>
      </c>
    </row>
    <row r="117" spans="1:6" ht="36">
      <c r="A117" s="882">
        <v>57</v>
      </c>
      <c r="B117" s="345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6" sqref="C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2985</v>
      </c>
    </row>
    <row r="2" spans="1:5" ht="15.75">
      <c r="A2" s="2897" t="s">
        <v>2977</v>
      </c>
      <c r="B2" s="2898" t="e">
        <f ca="1">SUMIF(B6:B13,"&lt;&gt;#ref!",B6:B13)</f>
        <v>#DIV/0!</v>
      </c>
      <c r="C2" s="2897" t="s">
        <v>2978</v>
      </c>
      <c r="D2" s="2897" t="s">
        <v>2979</v>
      </c>
      <c r="E2" s="2898">
        <f ca="1">SUMIF(E6:E13,"&lt;&gt;#ref!",E6:E13)</f>
        <v>38206.339999999997</v>
      </c>
    </row>
    <row r="3" spans="1:5" ht="15.75">
      <c r="A3" s="2897" t="s">
        <v>2980</v>
      </c>
      <c r="B3" s="2898" t="e">
        <f ca="1">ROUND(B2*10000/E2,0)</f>
        <v>#DIV/0!</v>
      </c>
      <c r="C3" s="2897" t="s">
        <v>2986</v>
      </c>
      <c r="D3" s="2899"/>
      <c r="E3" s="2899"/>
    </row>
    <row r="4" spans="1:5" ht="15.75">
      <c r="A4" s="2900"/>
      <c r="B4" s="2899"/>
      <c r="C4" s="2899"/>
      <c r="D4" s="2899"/>
      <c r="E4" s="2899"/>
    </row>
    <row r="5" spans="1:5" ht="28.5">
      <c r="A5" s="2901" t="s">
        <v>2981</v>
      </c>
      <c r="B5" s="2897" t="s">
        <v>2982</v>
      </c>
      <c r="C5" s="2898"/>
      <c r="D5" s="2899"/>
      <c r="E5" s="2897" t="s">
        <v>2983</v>
      </c>
    </row>
    <row r="6" spans="1:5" ht="15.75">
      <c r="A6" s="2902" t="s">
        <v>2984</v>
      </c>
      <c r="B6" s="2898" t="e">
        <f ca="1">SUMIF(INDIRECT("'"&amp;A6&amp;"'"&amp;"!A:A"),"总价",INDIRECT("'"&amp;A6&amp;"'"&amp;"!B:B"))</f>
        <v>#DIV/0!</v>
      </c>
      <c r="C6" s="2897" t="s">
        <v>2978</v>
      </c>
      <c r="D6" s="2899"/>
      <c r="E6" s="2571">
        <f ca="1">SUMIF(INDIRECT("'"&amp;A6&amp;"'"&amp;"!C:C"),"建筑面积",INDIRECT("'"&amp;A6&amp;"'"&amp;"!D:D"))</f>
        <v>38206.339999999997</v>
      </c>
    </row>
    <row r="7" spans="1:5" ht="15.75">
      <c r="A7" s="2902"/>
      <c r="B7" s="2898" t="e">
        <f ca="1">SUMIF(INDIRECT("'"&amp;A7&amp;"'"&amp;"!A:A"),"总价",INDIRECT("'"&amp;A7&amp;"'"&amp;"!B:B"))</f>
        <v>#REF!</v>
      </c>
      <c r="C7" s="2897" t="s">
        <v>2978</v>
      </c>
      <c r="D7" s="2899"/>
      <c r="E7" s="2571" t="e">
        <f t="shared" ref="E7:E13" ca="1" si="0">SUMIF(INDIRECT("'"&amp;A7&amp;"'"&amp;"!C:C"),"建筑面积",INDIRECT("'"&amp;A7&amp;"'"&amp;"!D:D"))</f>
        <v>#REF!</v>
      </c>
    </row>
    <row r="8" spans="1:5" ht="15.75">
      <c r="A8" s="2902"/>
      <c r="B8" s="2898" t="e">
        <f t="shared" ref="B8:B13" ca="1" si="1">SUMIF(INDIRECT("'"&amp;A8&amp;"'"&amp;"!A:A"),"总价",INDIRECT("'"&amp;A8&amp;"'"&amp;"!B:B"))</f>
        <v>#REF!</v>
      </c>
      <c r="C8" s="2897" t="s">
        <v>2978</v>
      </c>
      <c r="D8" s="2899"/>
      <c r="E8" s="2571" t="e">
        <f t="shared" ca="1" si="0"/>
        <v>#REF!</v>
      </c>
    </row>
    <row r="9" spans="1:5" ht="15.75">
      <c r="A9" s="2902"/>
      <c r="B9" s="2898" t="e">
        <f t="shared" ca="1" si="1"/>
        <v>#REF!</v>
      </c>
      <c r="C9" s="2897" t="s">
        <v>2978</v>
      </c>
      <c r="D9" s="2899"/>
      <c r="E9" s="2571" t="e">
        <f t="shared" ca="1" si="0"/>
        <v>#REF!</v>
      </c>
    </row>
    <row r="10" spans="1:5" ht="15.75">
      <c r="A10" s="2902"/>
      <c r="B10" s="2898" t="e">
        <f t="shared" ca="1" si="1"/>
        <v>#REF!</v>
      </c>
      <c r="C10" s="2897" t="s">
        <v>2978</v>
      </c>
      <c r="D10" s="2899"/>
      <c r="E10" s="2571" t="e">
        <f t="shared" ca="1" si="0"/>
        <v>#REF!</v>
      </c>
    </row>
    <row r="11" spans="1:5" ht="15.75">
      <c r="A11" s="2902"/>
      <c r="B11" s="2898" t="e">
        <f t="shared" ca="1" si="1"/>
        <v>#REF!</v>
      </c>
      <c r="C11" s="2897" t="s">
        <v>2978</v>
      </c>
      <c r="D11" s="2899"/>
      <c r="E11" s="2571" t="e">
        <f t="shared" ca="1" si="0"/>
        <v>#REF!</v>
      </c>
    </row>
    <row r="12" spans="1:5" ht="15.75">
      <c r="A12" s="2902"/>
      <c r="B12" s="2898" t="e">
        <f t="shared" ca="1" si="1"/>
        <v>#REF!</v>
      </c>
      <c r="C12" s="2897" t="s">
        <v>2978</v>
      </c>
      <c r="D12" s="2899"/>
      <c r="E12" s="2571" t="e">
        <f t="shared" ca="1" si="0"/>
        <v>#REF!</v>
      </c>
    </row>
    <row r="13" spans="1:5" ht="15.75">
      <c r="A13" s="2902"/>
      <c r="B13" s="2898" t="e">
        <f t="shared" ca="1" si="1"/>
        <v>#REF!</v>
      </c>
      <c r="C13" s="2897" t="s">
        <v>2978</v>
      </c>
      <c r="D13" s="2899"/>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C6" sqref="C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60" t="s">
        <v>1146</v>
      </c>
      <c r="C1" s="3460"/>
      <c r="D1" s="3460"/>
      <c r="E1" s="3460"/>
      <c r="F1" s="3460"/>
      <c r="G1" s="3456" t="s">
        <v>1147</v>
      </c>
      <c r="H1" s="3456"/>
      <c r="I1" s="3456"/>
      <c r="J1" s="3456"/>
      <c r="K1" s="3456"/>
      <c r="L1" s="3456"/>
      <c r="N1" s="3456" t="s">
        <v>1148</v>
      </c>
      <c r="O1" s="3456"/>
      <c r="P1" s="3456"/>
      <c r="Q1" s="3456"/>
      <c r="R1" s="1446"/>
      <c r="S1" s="3456" t="s">
        <v>1149</v>
      </c>
      <c r="T1" s="3456"/>
      <c r="U1" s="3456"/>
      <c r="V1" s="3456"/>
      <c r="X1" s="3455" t="s">
        <v>1150</v>
      </c>
      <c r="Y1" s="3456"/>
      <c r="Z1" s="3456"/>
      <c r="AA1" s="3456"/>
      <c r="AB1" s="3456"/>
      <c r="AD1" s="3455" t="s">
        <v>1151</v>
      </c>
      <c r="AE1" s="3456"/>
      <c r="AF1" s="3456"/>
      <c r="AG1" s="3456"/>
      <c r="AH1" s="345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3" customFormat="1" ht="14.25">
      <c r="A3" s="2922" t="s">
        <v>3020</v>
      </c>
      <c r="B3" s="2914"/>
      <c r="C3" s="2914"/>
      <c r="D3" s="2915"/>
      <c r="E3" s="2915"/>
      <c r="F3" s="2914"/>
      <c r="G3" s="2916"/>
      <c r="H3" s="2917"/>
      <c r="I3" s="2918">
        <f>ROUND(AVERAGE($I4:$I28),2)</f>
        <v>1.96</v>
      </c>
      <c r="J3" s="2918">
        <f>ROUND(AVERAGE($J4:$J28),2)</f>
        <v>1.38</v>
      </c>
      <c r="K3" s="2918">
        <f>ROUND(AVERAGE($K4:$K28),2)</f>
        <v>2.14</v>
      </c>
      <c r="L3" s="2918">
        <f>ROUND(AVERAGE($L4:$L28),2)</f>
        <v>1.34</v>
      </c>
      <c r="N3" s="2916"/>
      <c r="O3" s="2919"/>
      <c r="P3" s="2919"/>
      <c r="Q3" s="2919"/>
      <c r="R3" s="2919"/>
      <c r="S3" s="2916"/>
      <c r="T3" s="2919"/>
      <c r="U3" s="2919"/>
      <c r="V3" s="2919"/>
      <c r="W3" s="2911"/>
      <c r="X3" s="2920">
        <f>ROUND(SUMPRODUCT(PRODUCT(1+N3:N$27)),4)</f>
        <v>1.5422</v>
      </c>
      <c r="Y3" s="2920">
        <f>ROUND(SUMPRODUCT(PRODUCT(1+O3:O$27)),4)</f>
        <v>1.3557999999999999</v>
      </c>
      <c r="Z3" s="2920">
        <f t="shared" ref="Z3:Z25" si="0">Y3</f>
        <v>1.3557999999999999</v>
      </c>
      <c r="AA3" s="2920">
        <f>ROUND(SUMPRODUCT(PRODUCT(1+P3:P$27)),4)</f>
        <v>1.6036999999999999</v>
      </c>
      <c r="AB3" s="2920">
        <f>ROUND(SUMPRODUCT(PRODUCT(1+Q3:Q$27)),4)</f>
        <v>1.3573</v>
      </c>
      <c r="AD3" s="2921">
        <f>ROUND(AVERAGE(I3:I$28)/100,4)</f>
        <v>1.9599999999999999E-2</v>
      </c>
      <c r="AE3" s="2921">
        <f>ROUND(AVERAGE(J3:J$28)/100,4)</f>
        <v>1.38E-2</v>
      </c>
      <c r="AF3" s="2921">
        <f t="shared" ref="AF3:AF26" si="1">AE3</f>
        <v>1.38E-2</v>
      </c>
      <c r="AG3" s="2921">
        <f>ROUND(AVERAGE(K3:K$28)/100,4)</f>
        <v>2.1399999999999999E-2</v>
      </c>
      <c r="AH3" s="2921">
        <f>ROUND(AVERAGE(L3:L$28)/100,4)</f>
        <v>1.34E-2</v>
      </c>
    </row>
    <row r="4" spans="1:34" s="1453" customFormat="1" ht="14.25">
      <c r="B4" s="1454"/>
      <c r="C4" s="1454"/>
      <c r="D4" s="1455"/>
      <c r="E4" s="1455"/>
      <c r="F4" s="1454"/>
      <c r="G4" s="1456"/>
      <c r="H4" s="1457"/>
      <c r="I4" s="2908"/>
      <c r="J4" s="2908"/>
      <c r="K4" s="2908"/>
      <c r="L4" s="290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3039</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8">
        <v>2019</v>
      </c>
      <c r="H5" s="1729">
        <v>4</v>
      </c>
      <c r="I5" s="2909">
        <v>0</v>
      </c>
      <c r="J5" s="2909">
        <v>0</v>
      </c>
      <c r="K5" s="2909">
        <v>0</v>
      </c>
      <c r="L5" s="2909">
        <v>0</v>
      </c>
      <c r="N5" s="1467">
        <f t="shared" ref="N5:N10" si="7">I5/100</f>
        <v>0</v>
      </c>
      <c r="O5" s="1467">
        <f t="shared" ref="O5" si="8">J5/100</f>
        <v>0</v>
      </c>
      <c r="P5" s="1467">
        <f t="shared" ref="P5" si="9">K5/100</f>
        <v>0</v>
      </c>
      <c r="Q5" s="1467">
        <f t="shared" ref="Q5" si="10">L5/100</f>
        <v>0</v>
      </c>
      <c r="R5" s="1731"/>
      <c r="S5" s="1732"/>
      <c r="T5" s="1731"/>
      <c r="U5" s="1731"/>
      <c r="V5" s="1731"/>
      <c r="W5" s="2912" t="s">
        <v>3021</v>
      </c>
      <c r="X5" s="1725">
        <f>ROUND(IF(项目基本情况!B7="出让",SUMPRODUCT(PRODUCT(1+N5:N$28)),SUMPRODUCT(PRODUCT(1+N5:N$27))),4)</f>
        <v>1.5422</v>
      </c>
      <c r="Y5" s="1725">
        <f>ROUND(IF(项目基本情况!B7="出让",SUMPRODUCT(PRODUCT(1+O5:O$28)),SUMPRODUCT(PRODUCT(1+O5:O$27))),4)</f>
        <v>1.3557999999999999</v>
      </c>
      <c r="Z5" s="1725">
        <f t="shared" ref="Z5" si="11">Y5</f>
        <v>1.3557999999999999</v>
      </c>
      <c r="AA5" s="1725">
        <f>ROUND(IF(项目基本情况!B7="出让",SUMPRODUCT(PRODUCT(1+P5:P$28)),SUMPRODUCT(PRODUCT(1+P5:P$27))),4)</f>
        <v>1.6036999999999999</v>
      </c>
      <c r="AB5" s="1725">
        <f>ROUND(IF(项目基本情况!B7="出让",SUMPRODUCT(PRODUCT(1+Q5:Q$28)),SUMPRODUCT(PRODUCT(1+Q5:Q$27))),4)</f>
        <v>1.3573</v>
      </c>
      <c r="AD5" s="1468">
        <f>ROUND(AVERAGE(I5:I$28)/100,4)</f>
        <v>1.9599999999999999E-2</v>
      </c>
      <c r="AE5" s="1468">
        <f>ROUND(AVERAGE(J5:J$28)/100,4)</f>
        <v>1.38E-2</v>
      </c>
      <c r="AF5" s="1468">
        <f t="shared" ref="AF5" si="12">AE5</f>
        <v>1.38E-2</v>
      </c>
      <c r="AG5" s="1468">
        <f>ROUND(AVERAGE(K5:K$28)/100,4)</f>
        <v>2.1399999999999999E-2</v>
      </c>
      <c r="AH5" s="1468">
        <f>ROUND(AVERAGE(L5:L$28)/100,4)</f>
        <v>1.34E-2</v>
      </c>
    </row>
    <row r="6" spans="1:34" s="1466" customFormat="1" ht="13.5" thickBot="1">
      <c r="A6" s="1461" t="s">
        <v>3038</v>
      </c>
      <c r="B6" s="1477">
        <f t="shared" ref="B6" si="13">B7*(1+N6)</f>
        <v>474.30670301923408</v>
      </c>
      <c r="C6" s="1477">
        <f t="shared" ref="C6" si="14">C7*(1+O6)</f>
        <v>349.50705005996491</v>
      </c>
      <c r="D6" s="1477">
        <f t="shared" ref="D6" si="15">C6</f>
        <v>349.50705005996491</v>
      </c>
      <c r="E6" s="1477">
        <f t="shared" ref="E6" si="16">E7*(1+P6)</f>
        <v>678.22831959706957</v>
      </c>
      <c r="F6" s="1477">
        <f t="shared" ref="F6" si="17">F7*(1+Q6)</f>
        <v>312.0556832169558</v>
      </c>
      <c r="G6" s="2948">
        <v>2019</v>
      </c>
      <c r="H6" s="1462">
        <v>3</v>
      </c>
      <c r="I6" s="2946">
        <v>0</v>
      </c>
      <c r="J6" s="2946">
        <v>0</v>
      </c>
      <c r="K6" s="2946">
        <v>0</v>
      </c>
      <c r="L6" s="2947">
        <v>0</v>
      </c>
      <c r="M6" s="1471"/>
      <c r="N6" s="1472">
        <f t="shared" si="7"/>
        <v>0</v>
      </c>
      <c r="O6" s="1473">
        <f t="shared" ref="O6" si="18">J6/100</f>
        <v>0</v>
      </c>
      <c r="P6" s="1473">
        <f t="shared" ref="P6" si="19">K6/100</f>
        <v>0</v>
      </c>
      <c r="Q6" s="1473">
        <f t="shared" ref="Q6" si="20">L6/100</f>
        <v>0</v>
      </c>
      <c r="R6" s="1474"/>
      <c r="S6" s="1472"/>
      <c r="T6" s="1473"/>
      <c r="U6" s="1473"/>
      <c r="V6" s="1473"/>
      <c r="W6" s="1789"/>
      <c r="X6" s="1787">
        <f>ROUND(IF(项目基本情况!B8="出让",SUMPRODUCT(PRODUCT(1+N6:N$28)),SUMPRODUCT(PRODUCT(1+N6:N$27))),4)</f>
        <v>1.5422</v>
      </c>
      <c r="Y6" s="1787">
        <f>ROUND(IF(项目基本情况!B8="出让",SUMPRODUCT(PRODUCT(1+O6:O$28)),SUMPRODUCT(PRODUCT(1+O6:O$27))),4)</f>
        <v>1.3557999999999999</v>
      </c>
      <c r="Z6" s="1787">
        <f t="shared" ref="Z6" si="21">Y6</f>
        <v>1.3557999999999999</v>
      </c>
      <c r="AA6" s="1787">
        <f>ROUND(IF(项目基本情况!B8="出让",SUMPRODUCT(PRODUCT(1+P6:P$28)),SUMPRODUCT(PRODUCT(1+P6:P$27))),4)</f>
        <v>1.6036999999999999</v>
      </c>
      <c r="AB6" s="1787">
        <f>ROUND(IF(项目基本情况!B8="出让",SUMPRODUCT(PRODUCT(1+Q6:Q$28)),SUMPRODUCT(PRODUCT(1+Q6:Q$27))),4)</f>
        <v>1.3573</v>
      </c>
      <c r="AC6" s="1789"/>
      <c r="AD6" s="1788">
        <f>ROUND(AVERAGE(I6:I$28)/100,4)</f>
        <v>2.0400000000000001E-2</v>
      </c>
      <c r="AE6" s="1788">
        <f>ROUND(AVERAGE(J6:J$28)/100,4)</f>
        <v>1.44E-2</v>
      </c>
      <c r="AF6" s="1788">
        <f t="shared" ref="AF6" si="22">AE6</f>
        <v>1.44E-2</v>
      </c>
      <c r="AG6" s="1788">
        <f>ROUND(AVERAGE(K6:K$28)/100,4)</f>
        <v>2.23E-2</v>
      </c>
      <c r="AH6" s="1788">
        <f>ROUND(AVERAGE(L6:L$28)/100,4)</f>
        <v>1.4E-2</v>
      </c>
    </row>
    <row r="7" spans="1:34" s="1466" customFormat="1">
      <c r="A7" s="1461" t="s">
        <v>3036</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2">
        <v>2019</v>
      </c>
      <c r="H7" s="1462">
        <v>2</v>
      </c>
      <c r="I7" s="2946">
        <v>1.53</v>
      </c>
      <c r="J7" s="2946">
        <v>1.01</v>
      </c>
      <c r="K7" s="2946">
        <v>1.62</v>
      </c>
      <c r="L7" s="2947">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3033</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6">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3037</v>
      </c>
      <c r="B9" s="2943">
        <f t="shared" ref="B9" si="46">B10*(1+N9)</f>
        <v>464.37293017158942</v>
      </c>
      <c r="C9" s="2943">
        <f t="shared" ref="C9" si="47">C10*(1+O9)</f>
        <v>344.73679941385956</v>
      </c>
      <c r="D9" s="2943">
        <f t="shared" ref="D9" si="48">C9</f>
        <v>344.73679941385956</v>
      </c>
      <c r="E9" s="2943">
        <f t="shared" ref="E9" si="49">E10*(1+P9)</f>
        <v>663.2377795103107</v>
      </c>
      <c r="F9" s="2944">
        <f t="shared" ref="F9" si="50">F10*(1+Q9)</f>
        <v>304.75936311478398</v>
      </c>
      <c r="G9" s="3458">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3027</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458"/>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3026</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458"/>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3019</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465"/>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3016</v>
      </c>
      <c r="B13" s="1469">
        <v>439</v>
      </c>
      <c r="C13" s="1469">
        <v>327</v>
      </c>
      <c r="D13" s="1469">
        <f>C13</f>
        <v>327</v>
      </c>
      <c r="E13" s="1469">
        <v>627</v>
      </c>
      <c r="F13" s="1470">
        <v>283</v>
      </c>
      <c r="G13" s="3461">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3017</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458"/>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458"/>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465"/>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461">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458"/>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458"/>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459"/>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457">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458"/>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458"/>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459"/>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457">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458"/>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458"/>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459"/>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1159</v>
      </c>
      <c r="B29" s="1469">
        <v>299</v>
      </c>
      <c r="C29" s="1469">
        <v>252</v>
      </c>
      <c r="D29" s="1469">
        <f t="shared" si="108"/>
        <v>252</v>
      </c>
      <c r="E29" s="1469">
        <v>409</v>
      </c>
      <c r="F29" s="1470">
        <v>227</v>
      </c>
      <c r="G29" s="3462">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463"/>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463"/>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464"/>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457">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458"/>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458"/>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459"/>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457">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458">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458">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459">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457">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458">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458">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459">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457">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458">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458">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459">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457">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458">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458">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459">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457">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458">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458">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459">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457">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458">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458">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459">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457">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458">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458">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459">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457">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458">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458">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459">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457">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458">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458">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459">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457">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458">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458">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459">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6" sqref="C6"/>
      <selection pane="bottomLeft" activeCell="C6" sqref="C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2987</v>
      </c>
      <c r="C1" s="3467" t="s">
        <v>2988</v>
      </c>
      <c r="D1" s="3468"/>
      <c r="E1" s="3468"/>
      <c r="F1" s="3468"/>
      <c r="G1" s="3468"/>
      <c r="H1" s="3468"/>
      <c r="I1" s="3468"/>
      <c r="J1" s="3468"/>
      <c r="K1" s="3468"/>
      <c r="L1" s="3468"/>
      <c r="M1" s="3468"/>
      <c r="N1" s="3468"/>
      <c r="O1" s="3468"/>
      <c r="P1" s="3468"/>
      <c r="Q1" s="3468"/>
      <c r="R1" s="3468"/>
      <c r="S1" s="3469"/>
      <c r="T1" s="1204" t="s">
        <v>2989</v>
      </c>
    </row>
    <row r="2" spans="1:45" s="707" customFormat="1">
      <c r="A2" s="1205"/>
      <c r="B2" s="703" t="s">
        <v>2990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2991</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2992</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2993</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2997</v>
      </c>
      <c r="B17" s="2904" t="s">
        <v>2998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5" t="s">
        <v>2999</v>
      </c>
      <c r="E19" s="1791"/>
      <c r="F19" s="1791"/>
      <c r="G19" s="1791"/>
      <c r="H19" s="1280"/>
      <c r="I19" s="168"/>
      <c r="J19" s="168"/>
      <c r="K19" s="168"/>
      <c r="L19" s="168"/>
      <c r="M19" s="168"/>
      <c r="N19" s="168"/>
      <c r="O19" s="168"/>
      <c r="P19" s="168"/>
      <c r="Q19" s="168"/>
      <c r="R19" s="788"/>
      <c r="S19" s="138"/>
    </row>
    <row r="20" spans="1:45" ht="16.5" thickBot="1">
      <c r="A20" s="715" t="s">
        <v>3000</v>
      </c>
      <c r="B20" s="338" t="e">
        <f ca="1">IF(D20="——",S22,S22-F20)</f>
        <v>#REF!</v>
      </c>
      <c r="C20" s="168"/>
      <c r="D20" s="2906" t="s">
        <v>3001</v>
      </c>
      <c r="E20" s="1792"/>
      <c r="F20" s="1204" t="e">
        <f ca="1">SUMIF(INDIRECT("'"&amp;H20&amp;"'"&amp;"!A:A"),"承租人权益价值",INDIRECT("'"&amp;H20&amp;"'"&amp;"!c:c"))</f>
        <v>#REF!</v>
      </c>
      <c r="G20" s="1204" t="s">
        <v>3002</v>
      </c>
      <c r="H20" s="2907"/>
      <c r="I20" s="168"/>
      <c r="J20" s="168"/>
      <c r="K20" s="168"/>
      <c r="L20" s="168"/>
      <c r="M20" s="168"/>
      <c r="N20" s="168"/>
      <c r="O20" s="168"/>
      <c r="P20" s="168"/>
      <c r="Q20" s="168"/>
      <c r="R20" s="788"/>
      <c r="S20" s="138"/>
    </row>
    <row r="21" spans="1:45" ht="15.75">
      <c r="A21" s="715" t="s">
        <v>3003</v>
      </c>
      <c r="B21" s="338">
        <f>R22</f>
        <v>10000</v>
      </c>
      <c r="C21" s="168"/>
      <c r="D21" s="168"/>
      <c r="E21" s="168"/>
      <c r="F21" s="168"/>
      <c r="G21" s="168"/>
      <c r="H21" s="168"/>
      <c r="I21" s="168"/>
      <c r="J21" s="168"/>
      <c r="K21" s="168"/>
      <c r="L21" s="168"/>
      <c r="M21" s="168"/>
      <c r="N21" s="168"/>
      <c r="O21" s="168"/>
      <c r="P21" s="168"/>
      <c r="Q21" s="168"/>
      <c r="R21" s="788"/>
      <c r="S21" s="138"/>
    </row>
    <row r="22" spans="1:45">
      <c r="A22" s="361" t="s">
        <v>3004</v>
      </c>
      <c r="B22" s="24">
        <f>SUM(B24:B10000)</f>
        <v>100</v>
      </c>
      <c r="C22" s="3240" t="s">
        <v>33</v>
      </c>
      <c r="D22" s="3241"/>
      <c r="E22" s="3241"/>
      <c r="F22" s="3241"/>
      <c r="G22" s="3241"/>
      <c r="H22" s="3241"/>
      <c r="I22" s="3241"/>
      <c r="J22" s="3241"/>
      <c r="K22" s="3241"/>
      <c r="L22" s="3241"/>
      <c r="M22" s="3241"/>
      <c r="N22" s="3241"/>
      <c r="O22" s="3241"/>
      <c r="P22" s="3241"/>
      <c r="Q22" s="3466"/>
      <c r="R22" s="716">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7" t="s">
        <v>3008</v>
      </c>
      <c r="S23" s="11" t="s">
        <v>3009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35013</v>
      </c>
      <c r="C2" s="2" t="s">
        <v>133</v>
      </c>
      <c r="D2" s="243"/>
      <c r="E2" s="243"/>
      <c r="F2" s="243"/>
      <c r="G2" s="243"/>
    </row>
    <row r="3" spans="1:7" s="244" customFormat="1" ht="18" customHeight="1" thickBot="1">
      <c r="A3" s="247" t="s">
        <v>85</v>
      </c>
      <c r="B3" s="248">
        <f ca="1">ROUND(B2*10000/'数据-汇总表'!E3,0)</f>
        <v>9164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895</v>
      </c>
      <c r="D9" s="1032">
        <f>'数据-汇总表'!E5</f>
        <v>30847.1</v>
      </c>
      <c r="E9" s="269">
        <f>'数据-取费表'!B27</f>
        <v>290</v>
      </c>
      <c r="F9" s="265"/>
      <c r="G9" s="270"/>
    </row>
    <row r="10" spans="1:7" s="258" customFormat="1" ht="13.5" customHeight="1">
      <c r="A10" s="950" t="s">
        <v>801</v>
      </c>
      <c r="B10" s="268" t="s">
        <v>94</v>
      </c>
      <c r="C10" s="269">
        <f>ROUND(D10*E10/10000,0)</f>
        <v>235</v>
      </c>
      <c r="D10" s="1032">
        <f>'数据-汇总表'!E6</f>
        <v>7359.239999999998</v>
      </c>
      <c r="E10" s="269">
        <f>'数据-取费表'!B28</f>
        <v>320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764</v>
      </c>
      <c r="D19" s="1036">
        <f>'数据-汇总表'!E3</f>
        <v>38206.339999999997</v>
      </c>
      <c r="E19" s="255">
        <f>'数据-取费表'!B31</f>
        <v>200</v>
      </c>
      <c r="F19" s="275"/>
      <c r="G19" s="1" t="s">
        <v>1071</v>
      </c>
    </row>
    <row r="20" spans="1:7" s="258" customFormat="1" ht="13.5" customHeight="1">
      <c r="A20" s="948" t="s">
        <v>1054</v>
      </c>
      <c r="B20" s="254" t="s">
        <v>104</v>
      </c>
      <c r="C20" s="276">
        <f>ROUND((C5+C19)*F20,0)</f>
        <v>427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1025</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979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1635</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1635</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26467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6587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5732</v>
      </c>
      <c r="D34" s="261"/>
      <c r="E34" s="264"/>
      <c r="F34" s="301">
        <f>IF('数据-取费表'!B24=0,1,'数据-取费表'!N16)</f>
        <v>0.6</v>
      </c>
      <c r="G34" s="263" t="s">
        <v>116</v>
      </c>
    </row>
    <row r="35" spans="1:7" ht="13.5" customHeight="1">
      <c r="A35" s="951" t="s">
        <v>796</v>
      </c>
      <c r="B35" s="259" t="s">
        <v>60</v>
      </c>
      <c r="C35" s="264">
        <f>ROUND(C34*F35,0)</f>
        <v>172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139</v>
      </c>
      <c r="D36" s="264"/>
      <c r="E36" s="264"/>
      <c r="F36" s="303">
        <f>'数据-取费表'!B34</f>
        <v>0.03</v>
      </c>
      <c r="G36" s="304" t="s">
        <v>62</v>
      </c>
    </row>
    <row r="37" spans="1:7" s="302" customFormat="1" ht="13.5" customHeight="1">
      <c r="A37" s="951" t="s">
        <v>798</v>
      </c>
      <c r="B37" s="259" t="s">
        <v>118</v>
      </c>
      <c r="C37" s="293">
        <f>ROUND(E37*D37*F34/10000,0)</f>
        <v>458</v>
      </c>
      <c r="D37" s="261">
        <f>'数据-汇总表'!E3</f>
        <v>38206.339999999997</v>
      </c>
      <c r="E37" s="293">
        <f>'数据-取费表'!B35</f>
        <v>200</v>
      </c>
      <c r="F37" s="303"/>
      <c r="G37" s="305" t="s">
        <v>119</v>
      </c>
    </row>
    <row r="38" spans="1:7" ht="13.5" customHeight="1">
      <c r="A38" s="951" t="s">
        <v>799</v>
      </c>
      <c r="B38" s="259" t="s">
        <v>63</v>
      </c>
      <c r="C38" s="264">
        <f>ROUND(C34*F38,0)</f>
        <v>86</v>
      </c>
      <c r="D38" s="264"/>
      <c r="E38" s="264"/>
      <c r="F38" s="303">
        <f>'数据-取费表'!B36</f>
        <v>1.4999999999999999E-2</v>
      </c>
      <c r="G38" s="263" t="s">
        <v>117</v>
      </c>
    </row>
    <row r="39" spans="1:7" s="258" customFormat="1" ht="13.5" customHeight="1">
      <c r="A39" s="948" t="s">
        <v>783</v>
      </c>
      <c r="B39" s="254" t="s">
        <v>104</v>
      </c>
      <c r="C39" s="276">
        <f>ROUND(C33*F20,0)</f>
        <v>132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158</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155</v>
      </c>
      <c r="D42" s="282"/>
      <c r="E42" s="282"/>
      <c r="F42" s="283"/>
      <c r="G42" s="3325" t="s">
        <v>121</v>
      </c>
    </row>
    <row r="43" spans="1:7" ht="13.5" customHeight="1">
      <c r="A43" s="951" t="s">
        <v>792</v>
      </c>
      <c r="B43" s="259" t="s">
        <v>1061</v>
      </c>
      <c r="C43" s="282">
        <f ca="1">ROUND(IF('数据-取费表'!B22&lt;=1,C39*F22*'数据-取费表'!B21/2,C39*(POWER((1+F22),'数据-取费表'!B21/2)-1)),0)</f>
        <v>3</v>
      </c>
      <c r="D43" s="282"/>
      <c r="E43" s="282"/>
      <c r="F43" s="283"/>
      <c r="G43" s="3326"/>
    </row>
    <row r="44" spans="1:7" ht="13.5" customHeight="1">
      <c r="A44" s="951" t="s">
        <v>793</v>
      </c>
      <c r="B44" s="259" t="s">
        <v>1063</v>
      </c>
      <c r="C44" s="282">
        <f ca="1">ROUND(IF('数据-取费表'!B22&lt;=1,C40*F22*'数据-取费表'!B21/2,C40*(POWER((1+F22),'数据-取费表'!B21/2)-1)),4)</f>
        <v>5.0000000000000001E-4</v>
      </c>
      <c r="D44" s="282"/>
      <c r="E44" s="282"/>
      <c r="F44" s="283"/>
      <c r="G44" s="3327"/>
    </row>
    <row r="45" spans="1:7" s="258" customFormat="1" ht="13.5" customHeight="1">
      <c r="A45" s="948" t="s">
        <v>786</v>
      </c>
      <c r="B45" s="288" t="s">
        <v>112</v>
      </c>
      <c r="C45" s="289">
        <f>C46</f>
        <v>1008</v>
      </c>
      <c r="D45" s="279">
        <f>C47</f>
        <v>3.0000000000000001E-3</v>
      </c>
      <c r="E45" s="280" t="s">
        <v>129</v>
      </c>
      <c r="F45" s="290"/>
      <c r="G45" s="291" t="s">
        <v>1069</v>
      </c>
    </row>
    <row r="46" spans="1:7" s="258" customFormat="1" ht="13.5" customHeight="1">
      <c r="A46" s="951" t="s">
        <v>794</v>
      </c>
      <c r="B46" s="292" t="s">
        <v>1062</v>
      </c>
      <c r="C46" s="293">
        <f>ROUND((C33+C39)*F27,0)</f>
        <v>1008</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5.6500000000000002E-2</v>
      </c>
      <c r="D48" s="280" t="s">
        <v>130</v>
      </c>
      <c r="E48" s="276"/>
      <c r="F48" s="281"/>
      <c r="G48" s="278" t="s">
        <v>123</v>
      </c>
    </row>
    <row r="49" spans="1:7" ht="16.5" customHeight="1">
      <c r="A49" s="948" t="s">
        <v>788</v>
      </c>
      <c r="B49" s="254" t="s">
        <v>131</v>
      </c>
      <c r="C49" s="276">
        <f ca="1">ROUND((C33+C39+C41+C45)/(1-C40-D41-D45-C48/(1+'数据-取费表'!B42)),0)</f>
        <v>8546</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8546</v>
      </c>
      <c r="D51" s="276"/>
      <c r="E51" s="276"/>
      <c r="F51" s="308"/>
      <c r="G51" s="278" t="s">
        <v>64</v>
      </c>
    </row>
    <row r="52" spans="1:7" s="252" customFormat="1" ht="16.5" thickBot="1">
      <c r="A52" s="309" t="s">
        <v>65</v>
      </c>
      <c r="B52" s="310"/>
      <c r="C52" s="311">
        <f ca="1">C31+C51</f>
        <v>35013</v>
      </c>
      <c r="D52" s="310"/>
      <c r="E52" s="310"/>
      <c r="F52" s="310"/>
      <c r="G52" s="312"/>
    </row>
    <row r="55" spans="1:7" ht="15">
      <c r="B55" s="314" t="s">
        <v>66</v>
      </c>
      <c r="C55" s="315"/>
    </row>
    <row r="56" spans="1:7">
      <c r="B56" s="317" t="s">
        <v>67</v>
      </c>
      <c r="C56" s="318">
        <f ca="1">ROUND(C51/C52,3)</f>
        <v>0.24399999999999999</v>
      </c>
    </row>
    <row r="57" spans="1:7">
      <c r="B57" s="317" t="s">
        <v>68</v>
      </c>
      <c r="C57" s="319">
        <f ca="1">1-C56</f>
        <v>0.75600000000000001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70" t="s">
        <v>156</v>
      </c>
      <c r="B1" s="3470"/>
      <c r="C1" s="3470"/>
      <c r="D1" s="3470"/>
      <c r="E1" s="3470"/>
      <c r="F1" s="34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71" t="s">
        <v>169</v>
      </c>
      <c r="B2" s="3471"/>
      <c r="C2" s="3471"/>
      <c r="D2" s="3471"/>
      <c r="E2" s="3471"/>
      <c r="F2" s="34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92" t="str">
        <f>IF(项目基本情况!B9="房地产市场价值","估价结果一览表","结果表-2")</f>
        <v>结果表-2</v>
      </c>
      <c r="B1" s="3092"/>
      <c r="C1" s="3092"/>
      <c r="D1" s="3092"/>
      <c r="E1" s="3092"/>
      <c r="F1" s="3092"/>
      <c r="G1" s="3092"/>
      <c r="H1" s="3092"/>
      <c r="I1" s="3092"/>
    </row>
    <row r="2" spans="1:9" ht="30" customHeight="1" thickTop="1">
      <c r="A2" s="3093" t="s">
        <v>1636</v>
      </c>
      <c r="B2" s="3093" t="s">
        <v>1637</v>
      </c>
      <c r="C2" s="3093" t="s">
        <v>1638</v>
      </c>
      <c r="D2" s="3093" t="str">
        <f>结果表!D116</f>
        <v>出让国有建设用地使用权价值</v>
      </c>
      <c r="E2" s="3093"/>
      <c r="F2" s="3093" t="str">
        <f>结果表!F116</f>
        <v>在建建筑物价值</v>
      </c>
      <c r="G2" s="3093"/>
      <c r="H2" s="3093" t="str">
        <f>IF(项目基本情况!B9="房地产市场价值","房地产市场价值","房地产价值")</f>
        <v>房地产价值</v>
      </c>
      <c r="I2" s="3093"/>
    </row>
    <row r="3" spans="1:9" ht="15">
      <c r="A3" s="3094"/>
      <c r="B3" s="3094"/>
      <c r="C3" s="3094"/>
      <c r="D3" s="1044" t="s">
        <v>1633</v>
      </c>
      <c r="E3" s="1044" t="s">
        <v>1639</v>
      </c>
      <c r="F3" s="1044" t="s">
        <v>1633</v>
      </c>
      <c r="G3" s="1044" t="s">
        <v>1634</v>
      </c>
      <c r="H3" s="1044" t="s">
        <v>1633</v>
      </c>
      <c r="I3" s="1044" t="s">
        <v>1634</v>
      </c>
    </row>
    <row r="4" spans="1:9" ht="45">
      <c r="A4" s="1971" t="str">
        <f>项目基本情况!S2</f>
        <v>东丽区融创融园B1出让国有建设用地使用权及在建建筑物房地产</v>
      </c>
      <c r="B4" s="1044">
        <f>项目基本情况!C17</f>
        <v>38206.339999999997</v>
      </c>
      <c r="C4" s="1044">
        <f>项目基本情况!C18</f>
        <v>13491.73</v>
      </c>
      <c r="D4" s="1044">
        <f ca="1">结果表!D118</f>
        <v>71587</v>
      </c>
      <c r="E4" s="1044">
        <f ca="1">结果表!E118</f>
        <v>18737</v>
      </c>
      <c r="F4" s="1044">
        <f ca="1">结果表!F118</f>
        <v>8546</v>
      </c>
      <c r="G4" s="1044">
        <f ca="1">结果表!G118</f>
        <v>2237</v>
      </c>
      <c r="H4" s="1044">
        <f ca="1">结果表!H118</f>
        <v>80133</v>
      </c>
      <c r="I4" s="1044">
        <f ca="1">结果表!I118</f>
        <v>20974</v>
      </c>
    </row>
    <row r="5" spans="1:9" ht="30" customHeight="1">
      <c r="A5" s="3094" t="s">
        <v>1635</v>
      </c>
      <c r="B5" s="3094"/>
      <c r="C5" s="3094"/>
      <c r="D5" s="3095" t="str">
        <f ca="1">结果表!D119</f>
        <v>柒亿壹仟伍佰捌拾柒万元整</v>
      </c>
      <c r="E5" s="3095"/>
      <c r="F5" s="3095" t="str">
        <f ca="1">结果表!F119</f>
        <v>捌仟伍佰肆拾陆万元整</v>
      </c>
      <c r="G5" s="3095"/>
      <c r="H5" s="3095" t="str">
        <f ca="1">结果表!H119</f>
        <v>捌亿零壹佰叁拾叁万元整</v>
      </c>
      <c r="I5" s="3095"/>
    </row>
    <row r="6" spans="1:9" ht="15.75">
      <c r="A6" s="3096" t="str">
        <f>结果表!A120</f>
        <v>估价师知悉的法定优先受偿款</v>
      </c>
      <c r="B6" s="3096"/>
      <c r="C6" s="3096"/>
      <c r="D6" s="3096">
        <f>结果表!D120</f>
        <v>0</v>
      </c>
      <c r="E6" s="3096"/>
      <c r="F6" s="3096"/>
      <c r="G6" s="3096"/>
      <c r="H6" s="3096"/>
      <c r="I6" s="3096"/>
    </row>
    <row r="7" spans="1:9" ht="15">
      <c r="A7" s="3094" t="s">
        <v>1635</v>
      </c>
      <c r="B7" s="3094"/>
      <c r="C7" s="3094"/>
      <c r="D7" s="3097" t="str">
        <f>结果表!D121</f>
        <v>零元整</v>
      </c>
      <c r="E7" s="3098"/>
      <c r="F7" s="3098"/>
      <c r="G7" s="3098"/>
      <c r="H7" s="3098"/>
      <c r="I7" s="3099"/>
    </row>
    <row r="8" spans="1:9" ht="15.75">
      <c r="A8" s="3096" t="str">
        <f>结果表!A122</f>
        <v>房地产抵押价值</v>
      </c>
      <c r="B8" s="3096"/>
      <c r="C8" s="3096"/>
      <c r="D8" s="3096">
        <f ca="1">结果表!D122</f>
        <v>80133</v>
      </c>
      <c r="E8" s="3096"/>
      <c r="F8" s="3096"/>
      <c r="G8" s="3096"/>
      <c r="H8" s="3096"/>
      <c r="I8" s="3096"/>
    </row>
    <row r="9" spans="1:9" ht="15">
      <c r="A9" s="3094" t="s">
        <v>1635</v>
      </c>
      <c r="B9" s="3094"/>
      <c r="C9" s="3094"/>
      <c r="D9" s="3095" t="str">
        <f ca="1">结果表!D123</f>
        <v>捌亿零壹佰叁拾叁万元整</v>
      </c>
      <c r="E9" s="3095"/>
      <c r="F9" s="3095"/>
      <c r="G9" s="3095"/>
      <c r="H9" s="3095"/>
      <c r="I9" s="3095"/>
    </row>
    <row r="10" spans="1:9" ht="15.75">
      <c r="A10" s="3096" t="str">
        <f>结果表!A124</f>
        <v/>
      </c>
      <c r="B10" s="3096"/>
      <c r="C10" s="3096"/>
      <c r="D10" s="3096" t="str">
        <f>结果表!D124</f>
        <v>——</v>
      </c>
      <c r="E10" s="3096"/>
      <c r="F10" s="3096"/>
      <c r="G10" s="3096"/>
      <c r="H10" s="3096"/>
      <c r="I10" s="3096"/>
    </row>
    <row r="11" spans="1:9" ht="15">
      <c r="A11" s="3094" t="s">
        <v>1635</v>
      </c>
      <c r="B11" s="3094"/>
      <c r="C11" s="3094"/>
      <c r="D11" s="3095" t="e">
        <f>结果表!D125</f>
        <v>#VALUE!</v>
      </c>
      <c r="E11" s="3095"/>
      <c r="F11" s="3095"/>
      <c r="G11" s="3095"/>
      <c r="H11" s="3095"/>
      <c r="I11" s="3095"/>
    </row>
    <row r="12" spans="1:9" ht="15.75">
      <c r="A12" s="3096" t="str">
        <f>结果表!A126</f>
        <v>抵押净值</v>
      </c>
      <c r="B12" s="3096"/>
      <c r="C12" s="3096"/>
      <c r="D12" s="3096">
        <f ca="1">结果表!D126</f>
        <v>30462</v>
      </c>
      <c r="E12" s="3096"/>
      <c r="F12" s="3096"/>
      <c r="G12" s="3096"/>
      <c r="H12" s="3096"/>
      <c r="I12" s="3096"/>
    </row>
    <row r="13" spans="1:9" ht="15.75" thickBot="1">
      <c r="A13" s="3100" t="s">
        <v>1635</v>
      </c>
      <c r="B13" s="3100"/>
      <c r="C13" s="3100"/>
      <c r="D13" s="3101" t="str">
        <f ca="1">结果表!D127</f>
        <v>叁亿零肆佰陆拾贰万元整</v>
      </c>
      <c r="E13" s="3101"/>
      <c r="F13" s="3101"/>
      <c r="G13" s="3101"/>
      <c r="H13" s="3101"/>
      <c r="I13" s="3101"/>
    </row>
    <row r="14" spans="1:9" ht="15" thickTop="1">
      <c r="A14" s="3102" t="s">
        <v>1640</v>
      </c>
      <c r="B14" s="3102"/>
      <c r="C14" s="3102"/>
      <c r="D14" s="3102"/>
      <c r="E14" s="3102"/>
      <c r="F14" s="3102"/>
      <c r="G14" s="3102"/>
      <c r="H14" s="3102"/>
      <c r="I14" s="3102"/>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70" t="s">
        <v>868</v>
      </c>
      <c r="B1" s="347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43755</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M42" sqref="M42"/>
    </sheetView>
  </sheetViews>
  <sheetFormatPr defaultRowHeight="13.5"/>
  <cols>
    <col min="1" max="1" width="36" customWidth="1"/>
    <col min="9" max="9" width="22" customWidth="1"/>
  </cols>
  <sheetData>
    <row r="1" spans="1:14">
      <c r="A1" s="2952" t="s">
        <v>3060</v>
      </c>
      <c r="B1" s="2952" t="s">
        <v>3061</v>
      </c>
      <c r="C1" s="2952" t="s">
        <v>3062</v>
      </c>
      <c r="D1" s="2952" t="s">
        <v>3063</v>
      </c>
      <c r="E1" s="2952" t="s">
        <v>3064</v>
      </c>
      <c r="F1" s="2952" t="s">
        <v>3065</v>
      </c>
      <c r="G1" s="2952" t="s">
        <v>3066</v>
      </c>
      <c r="H1" s="2952" t="s">
        <v>3067</v>
      </c>
      <c r="I1" s="2952" t="s">
        <v>3068</v>
      </c>
      <c r="J1" s="2952" t="s">
        <v>3069</v>
      </c>
      <c r="K1" s="2952" t="s">
        <v>3070</v>
      </c>
      <c r="L1" s="2952" t="s">
        <v>3071</v>
      </c>
      <c r="M1" s="2952" t="s">
        <v>3072</v>
      </c>
      <c r="N1" s="2952" t="s">
        <v>3073</v>
      </c>
    </row>
    <row r="2" spans="1:14">
      <c r="A2" s="2952" t="s">
        <v>3074</v>
      </c>
      <c r="B2" s="2952" t="s">
        <v>3075</v>
      </c>
      <c r="C2" s="2952" t="s">
        <v>3076</v>
      </c>
      <c r="D2" s="2952" t="s">
        <v>3077</v>
      </c>
      <c r="E2" s="2952">
        <v>130729</v>
      </c>
      <c r="F2" s="2952">
        <v>152953</v>
      </c>
      <c r="G2" s="2952">
        <v>1.17</v>
      </c>
      <c r="H2" s="2952" t="s">
        <v>3078</v>
      </c>
      <c r="I2" s="2952" t="s">
        <v>3079</v>
      </c>
      <c r="J2" s="2952">
        <v>168000</v>
      </c>
      <c r="K2" s="2952">
        <v>189000</v>
      </c>
      <c r="L2" s="2952">
        <v>12356.73</v>
      </c>
      <c r="M2" s="2952">
        <v>12.5</v>
      </c>
      <c r="N2" s="2952" t="s">
        <v>3080</v>
      </c>
    </row>
    <row r="3" spans="1:14">
      <c r="A3" s="2952" t="s">
        <v>3081</v>
      </c>
      <c r="B3" s="2952" t="s">
        <v>3075</v>
      </c>
      <c r="C3" s="2952" t="s">
        <v>3082</v>
      </c>
      <c r="D3" s="2952" t="s">
        <v>3077</v>
      </c>
      <c r="E3" s="2952">
        <v>33062.86</v>
      </c>
      <c r="F3" s="2952">
        <v>61047</v>
      </c>
      <c r="G3" s="2952">
        <v>1.85</v>
      </c>
      <c r="H3" s="2952" t="s">
        <v>3083</v>
      </c>
      <c r="I3" s="2952" t="s">
        <v>3084</v>
      </c>
      <c r="J3" s="2952">
        <v>32510</v>
      </c>
      <c r="K3" s="2952">
        <v>40800</v>
      </c>
      <c r="L3" s="2952">
        <v>6683.38</v>
      </c>
      <c r="M3" s="2952">
        <v>25.5</v>
      </c>
      <c r="N3" s="2952" t="s">
        <v>3085</v>
      </c>
    </row>
    <row r="4" spans="1:14">
      <c r="A4" s="2952" t="s">
        <v>3086</v>
      </c>
      <c r="B4" s="2952" t="s">
        <v>3075</v>
      </c>
      <c r="C4" s="2952" t="s">
        <v>3076</v>
      </c>
      <c r="D4" s="2952" t="s">
        <v>3077</v>
      </c>
      <c r="E4" s="2952">
        <v>5690.63</v>
      </c>
      <c r="F4" s="2952">
        <v>13658</v>
      </c>
      <c r="G4" s="2952">
        <v>2.4</v>
      </c>
      <c r="H4" s="2952" t="s">
        <v>3087</v>
      </c>
      <c r="I4" s="2952" t="s">
        <v>3088</v>
      </c>
      <c r="J4" s="2952">
        <v>6970</v>
      </c>
      <c r="K4" s="2952">
        <v>8200</v>
      </c>
      <c r="L4" s="2952">
        <v>6003.81</v>
      </c>
      <c r="M4" s="2952">
        <v>17.649999999999999</v>
      </c>
      <c r="N4" s="2952" t="s">
        <v>3085</v>
      </c>
    </row>
    <row r="5" spans="1:14" s="2954" customFormat="1">
      <c r="A5" s="2953" t="s">
        <v>3089</v>
      </c>
      <c r="B5" s="2953" t="s">
        <v>3075</v>
      </c>
      <c r="C5" s="2953" t="s">
        <v>3076</v>
      </c>
      <c r="D5" s="2953" t="s">
        <v>3077</v>
      </c>
      <c r="E5" s="2953">
        <v>63574.45</v>
      </c>
      <c r="F5" s="2953">
        <v>127149</v>
      </c>
      <c r="G5" s="2953">
        <v>2</v>
      </c>
      <c r="H5" s="2953" t="s">
        <v>3090</v>
      </c>
      <c r="I5" s="2953" t="s">
        <v>3091</v>
      </c>
      <c r="J5" s="2953">
        <v>129500</v>
      </c>
      <c r="K5" s="2953">
        <v>194250</v>
      </c>
      <c r="L5" s="2953">
        <v>15277.35</v>
      </c>
      <c r="M5" s="2953">
        <v>50</v>
      </c>
      <c r="N5" s="2953" t="s">
        <v>3085</v>
      </c>
    </row>
    <row r="6" spans="1:14">
      <c r="A6" s="2952" t="s">
        <v>3092</v>
      </c>
      <c r="B6" s="2952" t="s">
        <v>3075</v>
      </c>
      <c r="C6" s="2952" t="s">
        <v>3082</v>
      </c>
      <c r="D6" s="2952" t="s">
        <v>3077</v>
      </c>
      <c r="E6" s="2952">
        <v>13867.74</v>
      </c>
      <c r="F6" s="2952">
        <v>38830</v>
      </c>
      <c r="G6" s="2952">
        <v>2.8</v>
      </c>
      <c r="H6" s="2952" t="s">
        <v>3093</v>
      </c>
      <c r="I6" s="2952" t="s">
        <v>3094</v>
      </c>
      <c r="J6" s="2952">
        <v>21500</v>
      </c>
      <c r="K6" s="2952">
        <v>22000</v>
      </c>
      <c r="L6" s="2952">
        <v>5665.72</v>
      </c>
      <c r="M6" s="2952">
        <v>2.33</v>
      </c>
      <c r="N6" s="2952" t="s">
        <v>3085</v>
      </c>
    </row>
    <row r="7" spans="1:14" s="2954" customFormat="1">
      <c r="A7" s="2953" t="s">
        <v>3095</v>
      </c>
      <c r="B7" s="2953" t="s">
        <v>3075</v>
      </c>
      <c r="C7" s="2953" t="s">
        <v>3082</v>
      </c>
      <c r="D7" s="2953" t="s">
        <v>3077</v>
      </c>
      <c r="E7" s="2953">
        <v>60999.15</v>
      </c>
      <c r="F7" s="2953">
        <v>145149</v>
      </c>
      <c r="G7" s="2953">
        <v>2.38</v>
      </c>
      <c r="H7" s="2953" t="s">
        <v>3096</v>
      </c>
      <c r="I7" s="2953" t="s">
        <v>3097</v>
      </c>
      <c r="J7" s="2953">
        <v>130000</v>
      </c>
      <c r="K7" s="2953">
        <v>176000</v>
      </c>
      <c r="L7" s="2953">
        <v>12125.46</v>
      </c>
      <c r="M7" s="2953">
        <v>35.380000000000003</v>
      </c>
      <c r="N7" s="2953" t="s">
        <v>3085</v>
      </c>
    </row>
    <row r="8" spans="1:14">
      <c r="A8" s="2952" t="s">
        <v>3098</v>
      </c>
      <c r="B8" s="2952" t="s">
        <v>3075</v>
      </c>
      <c r="C8" s="2952" t="s">
        <v>3076</v>
      </c>
      <c r="D8" s="2952" t="s">
        <v>3099</v>
      </c>
      <c r="E8" s="2952">
        <v>101000</v>
      </c>
      <c r="F8" s="2952">
        <v>241400</v>
      </c>
      <c r="G8" s="2952">
        <v>2.4</v>
      </c>
      <c r="H8" s="2952" t="s">
        <v>3100</v>
      </c>
      <c r="I8" s="2952" t="s">
        <v>3101</v>
      </c>
      <c r="J8" s="2952" t="s">
        <v>1327</v>
      </c>
      <c r="K8" s="2952" t="s">
        <v>1327</v>
      </c>
      <c r="L8" s="2952" t="s">
        <v>1327</v>
      </c>
      <c r="M8" s="2952" t="s">
        <v>1327</v>
      </c>
      <c r="N8" s="2952" t="s">
        <v>3085</v>
      </c>
    </row>
    <row r="9" spans="1:14">
      <c r="A9" s="2952" t="s">
        <v>3102</v>
      </c>
      <c r="B9" s="2952" t="s">
        <v>3075</v>
      </c>
      <c r="C9" s="2952" t="s">
        <v>3082</v>
      </c>
      <c r="D9" s="2952" t="s">
        <v>3077</v>
      </c>
      <c r="E9" s="2952">
        <v>56254.27</v>
      </c>
      <c r="F9" s="2952">
        <v>123533</v>
      </c>
      <c r="G9" s="2952">
        <v>2.2000000000000002</v>
      </c>
      <c r="H9" s="2952" t="s">
        <v>3103</v>
      </c>
      <c r="I9" s="2952" t="s">
        <v>3104</v>
      </c>
      <c r="J9" s="2952">
        <v>53100</v>
      </c>
      <c r="K9" s="2952">
        <v>79600</v>
      </c>
      <c r="L9" s="2952">
        <v>6443.61</v>
      </c>
      <c r="M9" s="2952">
        <v>49.91</v>
      </c>
      <c r="N9" s="2952" t="s">
        <v>3085</v>
      </c>
    </row>
    <row r="10" spans="1:14">
      <c r="A10" s="2952" t="s">
        <v>3105</v>
      </c>
      <c r="B10" s="2952" t="s">
        <v>3075</v>
      </c>
      <c r="C10" s="2952" t="s">
        <v>3082</v>
      </c>
      <c r="D10" s="2952" t="s">
        <v>3077</v>
      </c>
      <c r="E10" s="2952">
        <v>96640.25</v>
      </c>
      <c r="F10" s="2952">
        <v>142550</v>
      </c>
      <c r="G10" s="2952">
        <v>1.47</v>
      </c>
      <c r="H10" s="2952" t="s">
        <v>3106</v>
      </c>
      <c r="I10" s="2952" t="s">
        <v>3107</v>
      </c>
      <c r="J10" s="2952">
        <v>53700</v>
      </c>
      <c r="K10" s="2952">
        <v>72500</v>
      </c>
      <c r="L10" s="2952">
        <v>5085.93</v>
      </c>
      <c r="M10" s="2952">
        <v>35.01</v>
      </c>
      <c r="N10" s="2952" t="s">
        <v>3085</v>
      </c>
    </row>
    <row r="11" spans="1:14">
      <c r="A11" s="2952" t="s">
        <v>3108</v>
      </c>
      <c r="B11" s="2952" t="s">
        <v>3075</v>
      </c>
      <c r="C11" s="2952" t="s">
        <v>3082</v>
      </c>
      <c r="D11" s="2952" t="s">
        <v>3099</v>
      </c>
      <c r="E11" s="2952">
        <v>183499</v>
      </c>
      <c r="F11" s="2952">
        <v>442170</v>
      </c>
      <c r="G11" s="2952">
        <v>2.41</v>
      </c>
      <c r="H11" s="2952" t="s">
        <v>3109</v>
      </c>
      <c r="I11" s="2952" t="s">
        <v>3110</v>
      </c>
      <c r="J11" s="2952" t="s">
        <v>1327</v>
      </c>
      <c r="K11" s="2952">
        <v>180000</v>
      </c>
      <c r="L11" s="2952">
        <v>4070.82</v>
      </c>
      <c r="M11" s="2952" t="s">
        <v>1327</v>
      </c>
      <c r="N11" s="2952" t="s">
        <v>3085</v>
      </c>
    </row>
    <row r="12" spans="1:14">
      <c r="A12" s="2952" t="s">
        <v>3111</v>
      </c>
      <c r="B12" s="2952" t="s">
        <v>3075</v>
      </c>
      <c r="C12" s="2952" t="s">
        <v>3076</v>
      </c>
      <c r="D12" s="2952" t="s">
        <v>3077</v>
      </c>
      <c r="E12" s="2952">
        <v>50431</v>
      </c>
      <c r="F12" s="2952">
        <v>91996</v>
      </c>
      <c r="G12" s="2952">
        <v>1.82</v>
      </c>
      <c r="H12" s="2952" t="s">
        <v>3112</v>
      </c>
      <c r="I12" s="2952" t="s">
        <v>3113</v>
      </c>
      <c r="J12" s="2952">
        <v>22000</v>
      </c>
      <c r="K12" s="2952">
        <v>32600</v>
      </c>
      <c r="L12" s="2952">
        <v>3543.63</v>
      </c>
      <c r="M12" s="2952">
        <v>48.18</v>
      </c>
      <c r="N12" s="2952" t="s">
        <v>3085</v>
      </c>
    </row>
    <row r="13" spans="1:14">
      <c r="A13" s="2952" t="s">
        <v>3114</v>
      </c>
      <c r="B13" s="2952" t="s">
        <v>3075</v>
      </c>
      <c r="C13" s="2952" t="s">
        <v>3082</v>
      </c>
      <c r="D13" s="2952" t="s">
        <v>3099</v>
      </c>
      <c r="E13" s="2952">
        <v>143201</v>
      </c>
      <c r="F13" s="2952">
        <v>147127</v>
      </c>
      <c r="G13" s="2952">
        <v>0.92</v>
      </c>
      <c r="H13" s="2952" t="s">
        <v>3115</v>
      </c>
      <c r="I13" s="2952" t="s">
        <v>3116</v>
      </c>
      <c r="J13" s="2952" t="s">
        <v>1327</v>
      </c>
      <c r="K13" s="2952">
        <v>46200</v>
      </c>
      <c r="L13" s="2952">
        <v>3140.13</v>
      </c>
      <c r="M13" s="2952" t="s">
        <v>1327</v>
      </c>
      <c r="N13" s="2952" t="s">
        <v>3080</v>
      </c>
    </row>
    <row r="14" spans="1:14">
      <c r="A14" s="2952" t="s">
        <v>3117</v>
      </c>
      <c r="B14" s="2952" t="s">
        <v>3075</v>
      </c>
      <c r="C14" s="2952" t="s">
        <v>3082</v>
      </c>
      <c r="D14" s="2952" t="s">
        <v>3099</v>
      </c>
      <c r="E14" s="2952">
        <v>257285</v>
      </c>
      <c r="F14" s="2952">
        <v>237754</v>
      </c>
      <c r="G14" s="2952">
        <v>0.92</v>
      </c>
      <c r="H14" s="2952" t="s">
        <v>3118</v>
      </c>
      <c r="I14" s="2952" t="s">
        <v>3116</v>
      </c>
      <c r="J14" s="2952" t="s">
        <v>1327</v>
      </c>
      <c r="K14" s="2952">
        <v>92500</v>
      </c>
      <c r="L14" s="2952">
        <v>3890.57</v>
      </c>
      <c r="M14" s="2952" t="s">
        <v>1327</v>
      </c>
      <c r="N14" s="2952" t="s">
        <v>3080</v>
      </c>
    </row>
    <row r="15" spans="1:14">
      <c r="A15" s="2952" t="s">
        <v>3119</v>
      </c>
      <c r="B15" s="2952" t="s">
        <v>3075</v>
      </c>
      <c r="C15" s="2952" t="s">
        <v>3082</v>
      </c>
      <c r="D15" s="2952" t="s">
        <v>3099</v>
      </c>
      <c r="E15" s="2952">
        <v>116330</v>
      </c>
      <c r="F15" s="2952">
        <v>286768</v>
      </c>
      <c r="G15" s="2952">
        <v>2.4700000000000002</v>
      </c>
      <c r="H15" s="2952" t="s">
        <v>3120</v>
      </c>
      <c r="I15" s="2952" t="s">
        <v>3121</v>
      </c>
      <c r="J15" s="2952" t="s">
        <v>1327</v>
      </c>
      <c r="K15" s="2952">
        <v>50700</v>
      </c>
      <c r="L15" s="2952">
        <v>1767.98</v>
      </c>
      <c r="M15" s="2952" t="s">
        <v>1327</v>
      </c>
      <c r="N15" s="2952" t="s">
        <v>3085</v>
      </c>
    </row>
    <row r="16" spans="1:14">
      <c r="A16" s="2952" t="s">
        <v>3122</v>
      </c>
      <c r="B16" s="2952" t="s">
        <v>3075</v>
      </c>
      <c r="C16" s="2952" t="s">
        <v>3076</v>
      </c>
      <c r="D16" s="2952" t="s">
        <v>3077</v>
      </c>
      <c r="E16" s="2952">
        <v>121262</v>
      </c>
      <c r="F16" s="2952">
        <v>242524</v>
      </c>
      <c r="G16" s="2952">
        <v>2</v>
      </c>
      <c r="H16" s="2952" t="s">
        <v>3123</v>
      </c>
      <c r="I16" s="2952" t="s">
        <v>3124</v>
      </c>
      <c r="J16" s="2952">
        <v>63000</v>
      </c>
      <c r="K16" s="2952">
        <v>63600</v>
      </c>
      <c r="L16" s="2952">
        <v>2622.42</v>
      </c>
      <c r="M16" s="2952">
        <v>0.95</v>
      </c>
      <c r="N16" s="2952" t="s">
        <v>3085</v>
      </c>
    </row>
    <row r="17" spans="1:14" s="1634" customFormat="1" ht="14.25">
      <c r="A17" s="2952" t="s">
        <v>3125</v>
      </c>
      <c r="B17" s="2952" t="s">
        <v>3075</v>
      </c>
      <c r="C17" s="2952" t="s">
        <v>3076</v>
      </c>
      <c r="D17" s="2952" t="s">
        <v>3099</v>
      </c>
      <c r="E17" s="2952">
        <v>37817.29</v>
      </c>
      <c r="F17" s="2952">
        <v>83198</v>
      </c>
      <c r="G17" s="2952" t="s">
        <v>3126</v>
      </c>
      <c r="H17" s="2952" t="s">
        <v>3127</v>
      </c>
      <c r="I17" s="2952" t="s">
        <v>3128</v>
      </c>
      <c r="J17" s="2952" t="s">
        <v>1327</v>
      </c>
      <c r="K17" s="2952">
        <v>85861.17</v>
      </c>
      <c r="L17" s="2952">
        <v>10320.1</v>
      </c>
      <c r="M17" s="2952" t="s">
        <v>1327</v>
      </c>
      <c r="N17" s="2952" t="s">
        <v>3129</v>
      </c>
    </row>
    <row r="18" spans="1:14" s="1634" customFormat="1" ht="14.25">
      <c r="A18" s="2952" t="s">
        <v>3130</v>
      </c>
      <c r="B18" s="2952" t="s">
        <v>3075</v>
      </c>
      <c r="C18" s="2952" t="s">
        <v>3082</v>
      </c>
      <c r="D18" s="2952" t="s">
        <v>3077</v>
      </c>
      <c r="E18" s="2952">
        <v>81565.039999999994</v>
      </c>
      <c r="F18" s="2952">
        <v>166468</v>
      </c>
      <c r="G18" s="2952" t="s">
        <v>3131</v>
      </c>
      <c r="H18" s="2952" t="s">
        <v>3132</v>
      </c>
      <c r="I18" s="2952" t="s">
        <v>3133</v>
      </c>
      <c r="J18" s="2952">
        <v>363600</v>
      </c>
      <c r="K18" s="2952">
        <v>363600</v>
      </c>
      <c r="L18" s="2952">
        <v>21842.04</v>
      </c>
      <c r="M18" s="2952">
        <v>0</v>
      </c>
      <c r="N18" s="2952" t="s">
        <v>3134</v>
      </c>
    </row>
    <row r="19" spans="1:14" s="1634" customFormat="1" ht="14.25">
      <c r="A19" s="2952" t="s">
        <v>3135</v>
      </c>
      <c r="B19" s="2952" t="s">
        <v>3075</v>
      </c>
      <c r="C19" s="2952" t="s">
        <v>3082</v>
      </c>
      <c r="D19" s="2952" t="s">
        <v>3077</v>
      </c>
      <c r="E19" s="2952">
        <v>36338.199999999997</v>
      </c>
      <c r="F19" s="2952">
        <v>67633</v>
      </c>
      <c r="G19" s="2952">
        <v>1.86</v>
      </c>
      <c r="H19" s="2952" t="s">
        <v>3136</v>
      </c>
      <c r="I19" s="2952" t="s">
        <v>3137</v>
      </c>
      <c r="J19" s="2952">
        <v>79200</v>
      </c>
      <c r="K19" s="2952">
        <v>79200</v>
      </c>
      <c r="L19" s="2952">
        <v>11710.26</v>
      </c>
      <c r="M19" s="2952">
        <v>0</v>
      </c>
      <c r="N19" s="2952" t="s">
        <v>3129</v>
      </c>
    </row>
    <row r="20" spans="1:14" s="1634" customFormat="1" ht="14.25">
      <c r="A20" s="2952" t="s">
        <v>3138</v>
      </c>
      <c r="B20" s="2952" t="s">
        <v>3075</v>
      </c>
      <c r="C20" s="2952" t="s">
        <v>3082</v>
      </c>
      <c r="D20" s="2952" t="s">
        <v>3077</v>
      </c>
      <c r="E20" s="2952">
        <v>115895.2</v>
      </c>
      <c r="F20" s="2952">
        <v>176111</v>
      </c>
      <c r="G20" s="2952">
        <v>1.52</v>
      </c>
      <c r="H20" s="2952" t="s">
        <v>3139</v>
      </c>
      <c r="I20" s="2952" t="s">
        <v>3140</v>
      </c>
      <c r="J20" s="2952">
        <v>255500</v>
      </c>
      <c r="K20" s="2952">
        <v>255500</v>
      </c>
      <c r="L20" s="2952">
        <v>14507.89</v>
      </c>
      <c r="M20" s="2952">
        <v>0</v>
      </c>
      <c r="N20" s="2952" t="s">
        <v>3085</v>
      </c>
    </row>
    <row r="21" spans="1:14" s="1634" customFormat="1" ht="14.25">
      <c r="A21" s="2952" t="s">
        <v>3141</v>
      </c>
      <c r="B21" s="2952" t="s">
        <v>3075</v>
      </c>
      <c r="C21" s="2952" t="s">
        <v>3076</v>
      </c>
      <c r="D21" s="2952" t="s">
        <v>3099</v>
      </c>
      <c r="E21" s="2952">
        <v>43539.77</v>
      </c>
      <c r="F21" s="2952">
        <v>108849</v>
      </c>
      <c r="G21" s="2952">
        <v>2.5</v>
      </c>
      <c r="H21" s="2952" t="s">
        <v>3142</v>
      </c>
      <c r="I21" s="2952" t="s">
        <v>3143</v>
      </c>
      <c r="J21" s="2952" t="s">
        <v>1327</v>
      </c>
      <c r="K21" s="2952">
        <v>99450</v>
      </c>
      <c r="L21" s="2952">
        <v>9136.51</v>
      </c>
      <c r="M21" s="2952" t="s">
        <v>1327</v>
      </c>
      <c r="N21" s="2952" t="s">
        <v>3085</v>
      </c>
    </row>
    <row r="22" spans="1:14" s="2955" customFormat="1" ht="14.25">
      <c r="A22" s="2953" t="s">
        <v>3144</v>
      </c>
      <c r="B22" s="2953" t="s">
        <v>3075</v>
      </c>
      <c r="C22" s="2953" t="s">
        <v>3082</v>
      </c>
      <c r="D22" s="2953" t="s">
        <v>3077</v>
      </c>
      <c r="E22" s="2953">
        <v>70400.429999999993</v>
      </c>
      <c r="F22" s="2953">
        <v>211202</v>
      </c>
      <c r="G22" s="2953">
        <v>3</v>
      </c>
      <c r="H22" s="2953" t="s">
        <v>3145</v>
      </c>
      <c r="I22" s="2953" t="s">
        <v>3146</v>
      </c>
      <c r="J22" s="2953">
        <v>260000</v>
      </c>
      <c r="K22" s="2953">
        <v>262600</v>
      </c>
      <c r="L22" s="2953">
        <v>12433.59</v>
      </c>
      <c r="M22" s="2953">
        <v>1</v>
      </c>
      <c r="N22" s="2953" t="s">
        <v>3134</v>
      </c>
    </row>
    <row r="23" spans="1:14" s="1634" customFormat="1" ht="14.25">
      <c r="A23" s="2952" t="s">
        <v>3147</v>
      </c>
      <c r="B23" s="2952" t="s">
        <v>3075</v>
      </c>
      <c r="C23" s="2952" t="s">
        <v>3082</v>
      </c>
      <c r="D23" s="2952" t="s">
        <v>3077</v>
      </c>
      <c r="E23" s="2952">
        <v>20342.53</v>
      </c>
      <c r="F23" s="2952">
        <v>61028</v>
      </c>
      <c r="G23" s="2952">
        <v>3</v>
      </c>
      <c r="H23" s="2952" t="s">
        <v>3145</v>
      </c>
      <c r="I23" s="2952" t="s">
        <v>3148</v>
      </c>
      <c r="J23" s="2952">
        <v>60000</v>
      </c>
      <c r="K23" s="2952">
        <v>62000</v>
      </c>
      <c r="L23" s="2952">
        <v>10159.27</v>
      </c>
      <c r="M23" s="2952">
        <v>3.33</v>
      </c>
      <c r="N23" s="2952" t="s">
        <v>3134</v>
      </c>
    </row>
    <row r="24" spans="1:14" s="1634" customFormat="1" ht="14.25">
      <c r="A24" s="2952" t="s">
        <v>3149</v>
      </c>
      <c r="B24" s="2952" t="s">
        <v>3075</v>
      </c>
      <c r="C24" s="2952" t="s">
        <v>3082</v>
      </c>
      <c r="D24" s="2952" t="s">
        <v>3099</v>
      </c>
      <c r="E24" s="2952">
        <v>59539.89</v>
      </c>
      <c r="F24" s="2952">
        <v>143970</v>
      </c>
      <c r="G24" s="2952">
        <v>2.418042883</v>
      </c>
      <c r="H24" s="2952" t="s">
        <v>3150</v>
      </c>
      <c r="I24" s="2952" t="s">
        <v>3151</v>
      </c>
      <c r="J24" s="2952" t="s">
        <v>1327</v>
      </c>
      <c r="K24" s="2952" t="s">
        <v>1327</v>
      </c>
      <c r="L24" s="2952" t="s">
        <v>1327</v>
      </c>
      <c r="M24" s="2952" t="s">
        <v>1327</v>
      </c>
      <c r="N24" s="2952" t="s">
        <v>3085</v>
      </c>
    </row>
    <row r="25" spans="1:14" s="1634" customFormat="1" ht="14.25">
      <c r="A25" s="2952" t="s">
        <v>3152</v>
      </c>
      <c r="B25" s="2952" t="s">
        <v>3075</v>
      </c>
      <c r="C25" s="2952" t="s">
        <v>3076</v>
      </c>
      <c r="D25" s="2952" t="s">
        <v>3077</v>
      </c>
      <c r="E25" s="2952">
        <v>41062.42</v>
      </c>
      <c r="F25" s="2952">
        <v>102664</v>
      </c>
      <c r="G25" s="2952">
        <v>2.5</v>
      </c>
      <c r="H25" s="2952" t="s">
        <v>3153</v>
      </c>
      <c r="I25" s="2952" t="s">
        <v>3154</v>
      </c>
      <c r="J25" s="2952">
        <v>46000</v>
      </c>
      <c r="K25" s="2952">
        <v>68800</v>
      </c>
      <c r="L25" s="2952">
        <v>6701.47</v>
      </c>
      <c r="M25" s="2952">
        <v>49.57</v>
      </c>
      <c r="N25" s="2952" t="s">
        <v>3134</v>
      </c>
    </row>
    <row r="26" spans="1:14" s="1634" customFormat="1" ht="14.25">
      <c r="A26" s="2952" t="s">
        <v>3155</v>
      </c>
      <c r="B26" s="2952" t="s">
        <v>3075</v>
      </c>
      <c r="C26" s="2952" t="s">
        <v>3082</v>
      </c>
      <c r="D26" s="2952" t="s">
        <v>3077</v>
      </c>
      <c r="E26" s="2952">
        <v>339897.8</v>
      </c>
      <c r="F26" s="2952">
        <v>231900</v>
      </c>
      <c r="G26" s="2952">
        <v>0.68</v>
      </c>
      <c r="H26" s="2952" t="s">
        <v>3153</v>
      </c>
      <c r="I26" s="2952" t="s">
        <v>3156</v>
      </c>
      <c r="J26" s="2952">
        <v>164500</v>
      </c>
      <c r="K26" s="2952">
        <v>164500</v>
      </c>
      <c r="L26" s="2952">
        <v>7093.56</v>
      </c>
      <c r="M26" s="2952">
        <v>0</v>
      </c>
      <c r="N26" s="2952" t="s">
        <v>3080</v>
      </c>
    </row>
    <row r="27" spans="1:14" s="1634" customFormat="1" ht="14.25">
      <c r="A27" s="2952" t="s">
        <v>3157</v>
      </c>
      <c r="B27" s="2952" t="s">
        <v>3075</v>
      </c>
      <c r="C27" s="2952" t="s">
        <v>3076</v>
      </c>
      <c r="D27" s="2952" t="s">
        <v>3077</v>
      </c>
      <c r="E27" s="2952">
        <v>70312</v>
      </c>
      <c r="F27" s="2952">
        <v>130293</v>
      </c>
      <c r="G27" s="2952">
        <v>1.85</v>
      </c>
      <c r="H27" s="2952" t="s">
        <v>3158</v>
      </c>
      <c r="I27" s="2952" t="s">
        <v>3159</v>
      </c>
      <c r="J27" s="2952">
        <v>60895</v>
      </c>
      <c r="K27" s="2952">
        <v>60895</v>
      </c>
      <c r="L27" s="2952">
        <v>4673.6899999999996</v>
      </c>
      <c r="M27" s="2952">
        <v>0</v>
      </c>
      <c r="N27" s="2952" t="s">
        <v>3134</v>
      </c>
    </row>
    <row r="28" spans="1:14" s="1634" customFormat="1" ht="14.25">
      <c r="A28" s="2952" t="s">
        <v>3160</v>
      </c>
      <c r="B28" s="2952" t="s">
        <v>3075</v>
      </c>
      <c r="C28" s="2952" t="s">
        <v>3082</v>
      </c>
      <c r="D28" s="2952" t="s">
        <v>3077</v>
      </c>
      <c r="E28" s="2952">
        <v>155163</v>
      </c>
      <c r="F28" s="2952">
        <v>303132</v>
      </c>
      <c r="G28" s="2952">
        <v>1.95</v>
      </c>
      <c r="H28" s="2952" t="s">
        <v>3161</v>
      </c>
      <c r="I28" s="2952" t="s">
        <v>3162</v>
      </c>
      <c r="J28" s="2952">
        <v>49300</v>
      </c>
      <c r="K28" s="2952">
        <v>65300</v>
      </c>
      <c r="L28" s="2952">
        <v>2154.17</v>
      </c>
      <c r="M28" s="2952">
        <v>32.450000000000003</v>
      </c>
      <c r="N28" s="2952" t="s">
        <v>3129</v>
      </c>
    </row>
    <row r="29" spans="1:14" s="1634" customFormat="1" ht="14.25">
      <c r="A29" s="2952" t="s">
        <v>3163</v>
      </c>
      <c r="B29" s="2952" t="s">
        <v>3075</v>
      </c>
      <c r="C29" s="2952" t="s">
        <v>3076</v>
      </c>
      <c r="D29" s="2952" t="s">
        <v>3077</v>
      </c>
      <c r="E29" s="2952">
        <v>18727</v>
      </c>
      <c r="F29" s="2952">
        <v>37454</v>
      </c>
      <c r="G29" s="2952">
        <v>2</v>
      </c>
      <c r="H29" s="2952" t="s">
        <v>3164</v>
      </c>
      <c r="I29" s="2952" t="s">
        <v>3165</v>
      </c>
      <c r="J29" s="2952">
        <v>6510</v>
      </c>
      <c r="K29" s="2952">
        <v>6560</v>
      </c>
      <c r="L29" s="2952">
        <v>1751.48</v>
      </c>
      <c r="M29" s="2952">
        <v>0.77</v>
      </c>
      <c r="N29" s="2952" t="s">
        <v>3129</v>
      </c>
    </row>
    <row r="30" spans="1:14" s="1634" customFormat="1" ht="14.25">
      <c r="A30" s="2952" t="s">
        <v>3166</v>
      </c>
      <c r="B30" s="2952" t="s">
        <v>3075</v>
      </c>
      <c r="C30" s="2952" t="s">
        <v>3082</v>
      </c>
      <c r="D30" s="2952" t="s">
        <v>3099</v>
      </c>
      <c r="E30" s="2952">
        <v>47613</v>
      </c>
      <c r="F30" s="2952">
        <v>55819</v>
      </c>
      <c r="G30" s="2952">
        <v>1.17</v>
      </c>
      <c r="H30" s="2952" t="s">
        <v>3167</v>
      </c>
      <c r="I30" s="2952" t="s">
        <v>3168</v>
      </c>
      <c r="J30" s="2952">
        <v>16750</v>
      </c>
      <c r="K30" s="2952">
        <v>17310</v>
      </c>
      <c r="L30" s="2952">
        <v>3101.09</v>
      </c>
      <c r="M30" s="2952">
        <v>3.34</v>
      </c>
      <c r="N30" s="2952" t="s">
        <v>3129</v>
      </c>
    </row>
    <row r="31" spans="1:14" s="1634" customFormat="1" ht="14.25">
      <c r="A31" s="2952" t="s">
        <v>3169</v>
      </c>
      <c r="B31" s="2952" t="s">
        <v>3075</v>
      </c>
      <c r="C31" s="2952" t="s">
        <v>3082</v>
      </c>
      <c r="D31" s="2952" t="s">
        <v>3077</v>
      </c>
      <c r="E31" s="2952">
        <v>77813.19</v>
      </c>
      <c r="F31" s="2952">
        <v>172891.8</v>
      </c>
      <c r="G31" s="2952">
        <v>2.2000000000000002</v>
      </c>
      <c r="H31" s="2952" t="s">
        <v>3170</v>
      </c>
      <c r="I31" s="2952" t="s">
        <v>3171</v>
      </c>
      <c r="J31" s="2952">
        <v>9777.4699999999993</v>
      </c>
      <c r="K31" s="2952">
        <v>13900</v>
      </c>
      <c r="L31" s="2952">
        <v>803.97</v>
      </c>
      <c r="M31" s="2952">
        <v>42.16</v>
      </c>
      <c r="N31" s="2952" t="s">
        <v>3129</v>
      </c>
    </row>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03" t="s">
        <v>1657</v>
      </c>
      <c r="B1" s="3103"/>
      <c r="C1" s="3103"/>
      <c r="D1" s="3103"/>
    </row>
    <row r="2" spans="1:4" ht="18">
      <c r="A2" s="3104" t="s">
        <v>1641</v>
      </c>
      <c r="B2" s="3104"/>
      <c r="C2" s="3104"/>
      <c r="D2" s="3104"/>
    </row>
    <row r="3" spans="1:4" ht="18.75">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王鹏</v>
      </c>
      <c r="B5" s="1977">
        <f ca="1">项目基本情况!E4</f>
        <v>1120050019</v>
      </c>
      <c r="C5" s="1980"/>
      <c r="D5" s="1979" t="s">
        <v>1646</v>
      </c>
    </row>
    <row r="6" spans="1:4" ht="18">
      <c r="A6" s="3104" t="s">
        <v>1647</v>
      </c>
      <c r="B6" s="3104"/>
      <c r="C6" s="3104"/>
      <c r="D6" s="3104"/>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105" t="s">
        <v>1650</v>
      </c>
      <c r="B11" s="3106"/>
      <c r="C11" s="3106"/>
      <c r="D11" s="3106"/>
    </row>
    <row r="12" spans="1:4" ht="15.75">
      <c r="A12" s="31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6" t="str">
        <f>IF(项目基本情况!B8="抵押","4.本次评估估价师所知悉的法定优先受偿款情况说明如下：","——")</f>
        <v>4.本次评估估价师所知悉的法定优先受偿款情况说明如下：</v>
      </c>
      <c r="B14" s="3107"/>
      <c r="C14" s="3107"/>
      <c r="D14" s="3107"/>
    </row>
    <row r="15" spans="1:4" ht="42" customHeight="1">
      <c r="A15" s="31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6"/>
      <c r="C15" s="3106"/>
      <c r="D15" s="3106"/>
    </row>
    <row r="16" spans="1:4" ht="30" customHeight="1">
      <c r="A16" s="3109" t="s">
        <v>1651</v>
      </c>
      <c r="B16" s="3109"/>
      <c r="C16" s="3109"/>
      <c r="D16" s="3109"/>
    </row>
    <row r="17" spans="1:4" ht="144" customHeight="1">
      <c r="A17" s="3109" t="s">
        <v>1652</v>
      </c>
      <c r="B17" s="3109"/>
      <c r="C17" s="3109"/>
      <c r="D17" s="3109"/>
    </row>
    <row r="18" spans="1:4" ht="15.75" customHeight="1">
      <c r="A18" s="3106" t="str">
        <f>IF(项目基本情况!B8="抵押",结果表!K120,"——")</f>
        <v>故，本次评估不存在估价师知悉的法定优先受偿款</v>
      </c>
      <c r="B18" s="3106"/>
      <c r="C18" s="3106"/>
      <c r="D18" s="3106"/>
    </row>
    <row r="19" spans="1:4" ht="46.5" customHeight="1">
      <c r="A19" s="31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6"/>
      <c r="C19" s="3106"/>
      <c r="D19" s="3106"/>
    </row>
    <row r="20" spans="1:4" ht="57.75" customHeight="1">
      <c r="A20" s="31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6"/>
      <c r="C20" s="3106"/>
      <c r="D20" s="3106"/>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0"/>
      <c r="C21" s="3110"/>
      <c r="D21" s="3110"/>
    </row>
    <row r="22" spans="1:4" ht="18.75" customHeight="1">
      <c r="A22" s="3111" t="s">
        <v>1653</v>
      </c>
      <c r="B22" s="3111"/>
      <c r="C22" s="3111"/>
      <c r="D22" s="3111"/>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108">
        <v>42551</v>
      </c>
      <c r="D31" s="31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117" t="s">
        <v>1664</v>
      </c>
      <c r="B15" s="3112" t="s">
        <v>136</v>
      </c>
      <c r="C15" s="3113"/>
    </row>
    <row r="16" spans="1:7" ht="13.5">
      <c r="A16" s="3118"/>
      <c r="B16" s="3112" t="s">
        <v>69</v>
      </c>
      <c r="C16" s="3113"/>
    </row>
    <row r="17" spans="1:3" ht="13.5">
      <c r="A17" s="3118"/>
      <c r="B17" s="3115" t="s">
        <v>1665</v>
      </c>
      <c r="C17" s="1998" t="s">
        <v>1664</v>
      </c>
    </row>
    <row r="18" spans="1:3" ht="13.5">
      <c r="A18" s="3118"/>
      <c r="B18" s="3115"/>
      <c r="C18" s="1998" t="s">
        <v>1666</v>
      </c>
    </row>
    <row r="19" spans="1:3" ht="13.5">
      <c r="A19" s="3118"/>
      <c r="B19" s="3115"/>
      <c r="C19" s="1998" t="s">
        <v>1667</v>
      </c>
    </row>
    <row r="20" spans="1:3" ht="13.5">
      <c r="A20" s="3119"/>
      <c r="B20" s="3114" t="s">
        <v>1668</v>
      </c>
      <c r="C20" s="3113"/>
    </row>
    <row r="21" spans="1:3" ht="13.5">
      <c r="A21" s="1999" t="s">
        <v>1669</v>
      </c>
      <c r="B21" s="2000"/>
      <c r="C21" s="2001"/>
    </row>
    <row r="22" spans="1:3" ht="13.5">
      <c r="A22" s="3116" t="s">
        <v>1670</v>
      </c>
      <c r="B22" s="3114" t="s">
        <v>1671</v>
      </c>
      <c r="C22" s="3113"/>
    </row>
    <row r="23" spans="1:3" ht="13.5">
      <c r="A23" s="3116"/>
      <c r="B23" s="3114" t="s">
        <v>1672</v>
      </c>
      <c r="C23" s="3113"/>
    </row>
    <row r="24" spans="1:3" ht="13.5">
      <c r="A24" s="3116"/>
      <c r="B24" s="3114" t="s">
        <v>1673</v>
      </c>
      <c r="C24" s="3113"/>
    </row>
    <row r="25" spans="1:3" ht="13.5">
      <c r="A25" s="3116"/>
      <c r="B25" s="3115" t="s">
        <v>1674</v>
      </c>
      <c r="C25" s="1998" t="s">
        <v>1675</v>
      </c>
    </row>
    <row r="26" spans="1:3" ht="13.5">
      <c r="A26" s="3116"/>
      <c r="B26" s="3115"/>
      <c r="C26" s="1998" t="s">
        <v>1676</v>
      </c>
    </row>
    <row r="27" spans="1:3" ht="13.5">
      <c r="A27" s="3116"/>
      <c r="B27" s="3115"/>
      <c r="C27" s="1998" t="s">
        <v>1677</v>
      </c>
    </row>
    <row r="28" spans="1:3" ht="13.5">
      <c r="A28" s="3116"/>
      <c r="B28" s="3115"/>
      <c r="C28" s="1998" t="s">
        <v>1678</v>
      </c>
    </row>
    <row r="29" spans="1:3" ht="13.5">
      <c r="A29" s="3116"/>
      <c r="B29" s="3115"/>
      <c r="C29" s="1998" t="s">
        <v>1679</v>
      </c>
    </row>
    <row r="30" spans="1:3" ht="13.5">
      <c r="A30" s="3116"/>
      <c r="B30" s="3115"/>
      <c r="C30" s="1998" t="s">
        <v>1680</v>
      </c>
    </row>
    <row r="31" spans="1:3" ht="13.5">
      <c r="A31" s="3116"/>
      <c r="B31" s="3115"/>
      <c r="C31" s="1998" t="s">
        <v>1681</v>
      </c>
    </row>
    <row r="32" spans="1:3" ht="13.5">
      <c r="A32" s="3116"/>
      <c r="B32" s="3115"/>
      <c r="C32" s="1998" t="s">
        <v>1682</v>
      </c>
    </row>
    <row r="33" spans="1:3" ht="13.5">
      <c r="A33" s="3116"/>
      <c r="B33" s="3115"/>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43763</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f ca="1">IF(C10&lt;B2,"已过期",1120060040)</f>
        <v>1120060040</v>
      </c>
      <c r="C10" s="2343">
        <v>44554</v>
      </c>
      <c r="D10" s="2346" t="s">
        <v>838</v>
      </c>
      <c r="E10" s="1022">
        <f ca="1">IF(F10&lt;B2,"已过期",2004110096)</f>
        <v>2004110096</v>
      </c>
      <c r="F10" s="1030">
        <v>47118</v>
      </c>
    </row>
    <row r="11" spans="1:6" ht="24" customHeight="1">
      <c r="A11" s="1701" t="s">
        <v>839</v>
      </c>
      <c r="B11" s="1022">
        <f ca="1">IF(C11&lt;B2,"已过期",1120100036)</f>
        <v>1120100036</v>
      </c>
      <c r="C11" s="2343">
        <v>44675</v>
      </c>
      <c r="D11" s="2346" t="s">
        <v>839</v>
      </c>
      <c r="E11" s="1022">
        <f ca="1">IF(F11&lt;B2,"已过期",2010110070)</f>
        <v>2010110070</v>
      </c>
      <c r="F11" s="1030">
        <v>47907</v>
      </c>
    </row>
    <row r="12" spans="1:6" ht="24" customHeight="1">
      <c r="A12" s="1701"/>
      <c r="B12" s="1022"/>
      <c r="C12" s="2923"/>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3028</v>
      </c>
      <c r="B14" s="1022">
        <f ca="1">IF(C14&lt;B2,"已过期",1120040230)</f>
        <v>1120040230</v>
      </c>
      <c r="C14" s="2343">
        <v>43835</v>
      </c>
      <c r="D14" s="2346" t="s">
        <v>3028</v>
      </c>
      <c r="E14" s="1022">
        <f ca="1">IF(F14&lt;B2,"已过期",98030020)</f>
        <v>98030020</v>
      </c>
      <c r="F14" s="1030">
        <v>47118</v>
      </c>
    </row>
    <row r="15" spans="1:6" ht="24" customHeight="1">
      <c r="A15" s="1702" t="s">
        <v>3029</v>
      </c>
      <c r="B15" s="1022">
        <f ca="1">IF(C15&lt;B2,"已过期",1120070085)</f>
        <v>1120070085</v>
      </c>
      <c r="C15" s="2343">
        <v>43814</v>
      </c>
      <c r="D15" s="2347" t="s">
        <v>3029</v>
      </c>
      <c r="E15" s="1022">
        <f ca="1">IF(F15&lt;B2,"已过期",2004110128)</f>
        <v>2004110128</v>
      </c>
      <c r="F15" s="1023">
        <v>47118</v>
      </c>
    </row>
    <row r="16" spans="1:6" ht="24" customHeight="1">
      <c r="A16" s="1701" t="s">
        <v>3030</v>
      </c>
      <c r="B16" s="1022">
        <f ca="1">IF(C16&lt;B2,"已过期",1120140022)</f>
        <v>1120140022</v>
      </c>
      <c r="C16" s="2923">
        <v>44029</v>
      </c>
      <c r="D16" s="2346" t="s">
        <v>3030</v>
      </c>
      <c r="E16" s="1022">
        <f ca="1">IF(F16&lt;B2,"已过期",2008110059)</f>
        <v>2008110059</v>
      </c>
      <c r="F16" s="1030">
        <v>47177</v>
      </c>
    </row>
    <row r="17" spans="1:7" ht="24" customHeight="1">
      <c r="A17" s="1701"/>
      <c r="B17" s="1022"/>
      <c r="C17" s="2343"/>
      <c r="D17" s="2346" t="s">
        <v>3031</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3">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120" t="s">
        <v>843</v>
      </c>
      <c r="B25" s="3120"/>
      <c r="C25" s="3120"/>
      <c r="D25" s="3120"/>
      <c r="E25" s="3120"/>
      <c r="F25" s="3120"/>
      <c r="G25" s="3120"/>
    </row>
    <row r="26" spans="1:7" s="1025" customFormat="1" ht="24" customHeight="1">
      <c r="A26" s="3121" t="s">
        <v>844</v>
      </c>
      <c r="B26" s="3121"/>
      <c r="C26" s="3122"/>
      <c r="D26" s="3123" t="s">
        <v>845</v>
      </c>
      <c r="E26" s="3121"/>
      <c r="F26" s="3121"/>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3035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65" priority="88">
      <formula>AND($C28-TODAY()&lt;30,TODAY()&lt;$C28)</formula>
    </cfRule>
  </conditionalFormatting>
  <conditionalFormatting sqref="C28 F4">
    <cfRule type="cellIs" dxfId="264" priority="90" stopIfTrue="1" operator="lessThan">
      <formula>$B$2</formula>
    </cfRule>
  </conditionalFormatting>
  <conditionalFormatting sqref="C5">
    <cfRule type="expression" dxfId="263" priority="85">
      <formula>AND($C5-TODAY()&lt;30,TODAY()&lt;$C5)</formula>
    </cfRule>
  </conditionalFormatting>
  <conditionalFormatting sqref="C5 F5">
    <cfRule type="cellIs" dxfId="262" priority="86" stopIfTrue="1" operator="lessThan">
      <formula>$B$2</formula>
    </cfRule>
  </conditionalFormatting>
  <conditionalFormatting sqref="F6 F8 F10">
    <cfRule type="cellIs" dxfId="261" priority="84" stopIfTrue="1" operator="lessThan">
      <formula>$B$2</formula>
    </cfRule>
  </conditionalFormatting>
  <conditionalFormatting sqref="C4:C11 C13 C23 C17:C21">
    <cfRule type="expression" dxfId="260" priority="82">
      <formula>AND($C4-TODAY()&lt;30,TODAY()&lt;$C4)</formula>
    </cfRule>
  </conditionalFormatting>
  <conditionalFormatting sqref="F7 F9 F11 C4:C11 C13 C23 C17:C21">
    <cfRule type="cellIs" dxfId="259" priority="83" stopIfTrue="1" operator="lessThan">
      <formula>$B$2</formula>
    </cfRule>
  </conditionalFormatting>
  <conditionalFormatting sqref="C18">
    <cfRule type="expression" dxfId="258" priority="72">
      <formula>AND($C18-TODAY()&lt;30,TODAY()&lt;$C18)</formula>
    </cfRule>
  </conditionalFormatting>
  <conditionalFormatting sqref="C18">
    <cfRule type="cellIs" dxfId="257" priority="73" stopIfTrue="1" operator="lessThan">
      <formula>$B$2</formula>
    </cfRule>
  </conditionalFormatting>
  <conditionalFormatting sqref="C20">
    <cfRule type="expression" dxfId="256" priority="70">
      <formula>AND($C20-TODAY()&lt;30,TODAY()&lt;$C20)</formula>
    </cfRule>
  </conditionalFormatting>
  <conditionalFormatting sqref="C20">
    <cfRule type="cellIs" dxfId="255" priority="71" stopIfTrue="1" operator="lessThan">
      <formula>$B$2</formula>
    </cfRule>
  </conditionalFormatting>
  <conditionalFormatting sqref="C17">
    <cfRule type="expression" dxfId="254" priority="64">
      <formula>AND($C17-TODAY()&lt;30,TODAY()&lt;$C17)</formula>
    </cfRule>
  </conditionalFormatting>
  <conditionalFormatting sqref="C17">
    <cfRule type="cellIs" dxfId="253" priority="65" stopIfTrue="1" operator="lessThan">
      <formula>$B$2</formula>
    </cfRule>
  </conditionalFormatting>
  <conditionalFormatting sqref="C19">
    <cfRule type="expression" dxfId="252" priority="62">
      <formula>AND($C19-TODAY()&lt;30,TODAY()&lt;$C19)</formula>
    </cfRule>
  </conditionalFormatting>
  <conditionalFormatting sqref="C19">
    <cfRule type="cellIs" dxfId="251" priority="63" stopIfTrue="1" operator="lessThan">
      <formula>$B$2</formula>
    </cfRule>
  </conditionalFormatting>
  <conditionalFormatting sqref="C21">
    <cfRule type="expression" dxfId="250" priority="60">
      <formula>AND($C21-TODAY()&lt;30,TODAY()&lt;$C21)</formula>
    </cfRule>
  </conditionalFormatting>
  <conditionalFormatting sqref="C21">
    <cfRule type="cellIs" dxfId="249" priority="61" stopIfTrue="1" operator="lessThan">
      <formula>$B$2</formula>
    </cfRule>
  </conditionalFormatting>
  <conditionalFormatting sqref="C23">
    <cfRule type="expression" dxfId="248" priority="58">
      <formula>AND($C23-TODAY()&lt;30,TODAY()&lt;$C23)</formula>
    </cfRule>
  </conditionalFormatting>
  <conditionalFormatting sqref="C23">
    <cfRule type="cellIs" dxfId="247" priority="59" stopIfTrue="1" operator="lessThan">
      <formula>$B$2</formula>
    </cfRule>
  </conditionalFormatting>
  <conditionalFormatting sqref="F18">
    <cfRule type="cellIs" dxfId="246" priority="55" stopIfTrue="1" operator="lessThan">
      <formula>$B$2</formula>
    </cfRule>
  </conditionalFormatting>
  <conditionalFormatting sqref="F22">
    <cfRule type="cellIs" dxfId="245" priority="54" stopIfTrue="1" operator="lessThan">
      <formula>$B$2</formula>
    </cfRule>
  </conditionalFormatting>
  <conditionalFormatting sqref="F21">
    <cfRule type="cellIs" dxfId="244" priority="53" stopIfTrue="1" operator="lessThan">
      <formula>$B$2</formula>
    </cfRule>
  </conditionalFormatting>
  <conditionalFormatting sqref="B4:B11 E4:E11 B17:B23 E18:E23 B13 E13">
    <cfRule type="cellIs" dxfId="243" priority="51" stopIfTrue="1" operator="equal">
      <formula>"已过期"</formula>
    </cfRule>
  </conditionalFormatting>
  <conditionalFormatting sqref="A24:F24">
    <cfRule type="cellIs" dxfId="242" priority="47" stopIfTrue="1" operator="equal">
      <formula>"已过期"</formula>
    </cfRule>
  </conditionalFormatting>
  <conditionalFormatting sqref="F28">
    <cfRule type="expression" dxfId="241" priority="45">
      <formula>AND($E28-TODAY()&lt;30,TODAY()&lt;$E28)</formula>
    </cfRule>
  </conditionalFormatting>
  <conditionalFormatting sqref="F28">
    <cfRule type="cellIs" dxfId="240" priority="46" stopIfTrue="1" operator="lessThan">
      <formula>$B$2</formula>
    </cfRule>
  </conditionalFormatting>
  <conditionalFormatting sqref="F29">
    <cfRule type="expression" dxfId="239" priority="41" stopIfTrue="1">
      <formula>AND($E29-TODAY()&lt;30,TODAY()&lt;$E29)</formula>
    </cfRule>
  </conditionalFormatting>
  <conditionalFormatting sqref="F29">
    <cfRule type="cellIs" dxfId="238" priority="42" stopIfTrue="1" operator="lessThan">
      <formula>$B$2</formula>
    </cfRule>
  </conditionalFormatting>
  <conditionalFormatting sqref="F13">
    <cfRule type="cellIs" dxfId="237" priority="34" stopIfTrue="1" operator="lessThan">
      <formula>$B$2</formula>
    </cfRule>
  </conditionalFormatting>
  <conditionalFormatting sqref="C12">
    <cfRule type="expression" dxfId="236" priority="32">
      <formula>AND($C12-TODAY()&lt;30,TODAY()&lt;$C12)</formula>
    </cfRule>
  </conditionalFormatting>
  <conditionalFormatting sqref="C12">
    <cfRule type="cellIs" dxfId="235" priority="33" stopIfTrue="1" operator="lessThan">
      <formula>$B$2</formula>
    </cfRule>
  </conditionalFormatting>
  <conditionalFormatting sqref="C12">
    <cfRule type="expression" dxfId="234" priority="30">
      <formula>AND($C12-TODAY()&lt;30,TODAY()&lt;$C12)</formula>
    </cfRule>
  </conditionalFormatting>
  <conditionalFormatting sqref="C12">
    <cfRule type="cellIs" dxfId="233" priority="31" stopIfTrue="1" operator="lessThan">
      <formula>$B$2</formula>
    </cfRule>
  </conditionalFormatting>
  <conditionalFormatting sqref="B12">
    <cfRule type="cellIs" dxfId="232" priority="29" stopIfTrue="1" operator="equal">
      <formula>"已过期"</formula>
    </cfRule>
  </conditionalFormatting>
  <conditionalFormatting sqref="E12">
    <cfRule type="cellIs" dxfId="231" priority="28" stopIfTrue="1" operator="equal">
      <formula>"已过期"</formula>
    </cfRule>
  </conditionalFormatting>
  <conditionalFormatting sqref="F12">
    <cfRule type="cellIs" dxfId="230" priority="27" stopIfTrue="1" operator="lessThan">
      <formula>$B$2</formula>
    </cfRule>
  </conditionalFormatting>
  <conditionalFormatting sqref="C22">
    <cfRule type="expression" dxfId="229" priority="25">
      <formula>AND($C22-TODAY()&lt;30,TODAY()&lt;$C22)</formula>
    </cfRule>
  </conditionalFormatting>
  <conditionalFormatting sqref="C22">
    <cfRule type="cellIs" dxfId="228" priority="26" stopIfTrue="1" operator="lessThan">
      <formula>$B$2</formula>
    </cfRule>
  </conditionalFormatting>
  <conditionalFormatting sqref="C22">
    <cfRule type="expression" dxfId="227" priority="23">
      <formula>AND($C22-TODAY()&lt;30,TODAY()&lt;$C22)</formula>
    </cfRule>
  </conditionalFormatting>
  <conditionalFormatting sqref="C22">
    <cfRule type="cellIs" dxfId="226" priority="24" stopIfTrue="1" operator="lessThan">
      <formula>$B$2</formula>
    </cfRule>
  </conditionalFormatting>
  <conditionalFormatting sqref="C16">
    <cfRule type="expression" dxfId="225" priority="21">
      <formula>AND($C16-TODAY()&lt;30,TODAY()&lt;$C16)</formula>
    </cfRule>
  </conditionalFormatting>
  <conditionalFormatting sqref="C16">
    <cfRule type="cellIs" dxfId="224" priority="22" stopIfTrue="1" operator="lessThan">
      <formula>$B$2</formula>
    </cfRule>
  </conditionalFormatting>
  <conditionalFormatting sqref="C16">
    <cfRule type="expression" dxfId="223" priority="19">
      <formula>AND($C16-TODAY()&lt;30,TODAY()&lt;$C16)</formula>
    </cfRule>
  </conditionalFormatting>
  <conditionalFormatting sqref="C16">
    <cfRule type="cellIs" dxfId="222" priority="20" stopIfTrue="1" operator="lessThan">
      <formula>$B$2</formula>
    </cfRule>
  </conditionalFormatting>
  <conditionalFormatting sqref="B16">
    <cfRule type="cellIs" dxfId="221" priority="18" stopIfTrue="1" operator="equal">
      <formula>"已过期"</formula>
    </cfRule>
  </conditionalFormatting>
  <conditionalFormatting sqref="C14:C15">
    <cfRule type="expression" dxfId="220" priority="16">
      <formula>AND($C14-TODAY()&lt;30,TODAY()&lt;$C14)</formula>
    </cfRule>
  </conditionalFormatting>
  <conditionalFormatting sqref="C14:C15">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C15">
    <cfRule type="expression" dxfId="216" priority="12">
      <formula>AND($C15-TODAY()&lt;30,TODAY()&lt;$C15)</formula>
    </cfRule>
  </conditionalFormatting>
  <conditionalFormatting sqref="C15">
    <cfRule type="cellIs" dxfId="215" priority="13" stopIfTrue="1" operator="lessThan">
      <formula>$B$2</formula>
    </cfRule>
  </conditionalFormatting>
  <conditionalFormatting sqref="B14">
    <cfRule type="cellIs" dxfId="214" priority="11" stopIfTrue="1" operator="equal">
      <formula>"已过期"</formula>
    </cfRule>
  </conditionalFormatting>
  <conditionalFormatting sqref="B15">
    <cfRule type="cellIs" dxfId="213" priority="10" stopIfTrue="1" operator="equal">
      <formula>"已过期"</formula>
    </cfRule>
  </conditionalFormatting>
  <conditionalFormatting sqref="A15">
    <cfRule type="cellIs" dxfId="212" priority="9" stopIfTrue="1" operator="equal">
      <formula>"已过期"</formula>
    </cfRule>
  </conditionalFormatting>
  <conditionalFormatting sqref="C15">
    <cfRule type="expression" dxfId="211" priority="8">
      <formula>AND($C15-TODAY()&lt;30,TODAY()&lt;$C15)</formula>
    </cfRule>
  </conditionalFormatting>
  <conditionalFormatting sqref="F16">
    <cfRule type="cellIs" dxfId="210" priority="7" stopIfTrue="1" operator="lessThan">
      <formula>$B$2</formula>
    </cfRule>
  </conditionalFormatting>
  <conditionalFormatting sqref="E16 E14">
    <cfRule type="cellIs" dxfId="209" priority="6" stopIfTrue="1" operator="equal">
      <formula>"已过期"</formula>
    </cfRule>
  </conditionalFormatting>
  <conditionalFormatting sqref="E15">
    <cfRule type="cellIs" dxfId="208" priority="5" stopIfTrue="1" operator="equal">
      <formula>"已过期"</formula>
    </cfRule>
  </conditionalFormatting>
  <conditionalFormatting sqref="D15">
    <cfRule type="cellIs" dxfId="207" priority="4" stopIfTrue="1" operator="equal">
      <formula>"已过期"</formula>
    </cfRule>
  </conditionalFormatting>
  <conditionalFormatting sqref="F17">
    <cfRule type="cellIs" dxfId="206" priority="3" stopIfTrue="1" operator="lessThan">
      <formula>$B$2</formula>
    </cfRule>
  </conditionalFormatting>
  <conditionalFormatting sqref="E17">
    <cfRule type="cellIs" dxfId="205" priority="2" stopIfTrue="1" operator="equal">
      <formula>"已过期"</formula>
    </cfRule>
  </conditionalFormatting>
  <conditionalFormatting sqref="F14">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148</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数据-汇总表</vt:lpstr>
      <vt:lpstr>土地信息</vt:lpstr>
      <vt:lpstr>尽调及已售情况</vt:lpstr>
      <vt:lpstr>B1住宅</vt:lpstr>
      <vt:lpstr>B1商业</vt:lpstr>
      <vt:lpstr>抵押物清单（分楼）</vt:lpstr>
      <vt:lpstr>数据-取费表</vt:lpstr>
      <vt:lpstr>估价对象房地状况</vt:lpstr>
      <vt:lpstr>系统读取表</vt:lpstr>
      <vt:lpstr>结果表</vt:lpstr>
      <vt:lpstr>成本法 (元)</vt:lpstr>
      <vt:lpstr>成本法</vt:lpstr>
      <vt:lpstr>土地比较法-住宅、综合</vt:lpstr>
      <vt:lpstr>土地案例</vt:lpstr>
      <vt:lpstr>Sheet1</vt:lpstr>
      <vt:lpstr>假设开发法</vt:lpstr>
      <vt:lpstr>收益法 (元)</vt:lpstr>
      <vt:lpstr>收益法（汇总）</vt:lpstr>
      <vt:lpstr>酒店收入计算</vt:lpstr>
      <vt:lpstr>比较法-住宅（小高层）</vt:lpstr>
      <vt:lpstr>比较法-商业</vt:lpstr>
      <vt:lpstr>比较法-办公</vt:lpstr>
      <vt:lpstr>比较法-工业</vt:lpstr>
      <vt:lpstr>比较法-车位</vt:lpstr>
      <vt:lpstr>比较法-仓储</vt:lpstr>
      <vt:lpstr>比较法-住宅（平墅）</vt:lpstr>
      <vt:lpstr>收益法</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'比较法-住宅（平墅）'!住宅朝向</vt:lpstr>
      <vt:lpstr>住宅朝向</vt:lpstr>
      <vt:lpstr>'比较法-住宅（平墅）'!住宅房型</vt:lpstr>
      <vt:lpstr>住宅房型</vt:lpstr>
      <vt:lpstr>'比较法-住宅（平墅）'!住宅公共部分装修</vt:lpstr>
      <vt:lpstr>住宅公共部分装修</vt:lpstr>
      <vt:lpstr>'比较法-住宅（平墅）'!住宅基础设施水平</vt:lpstr>
      <vt:lpstr>住宅基础设施水平</vt:lpstr>
      <vt:lpstr>'比较法-住宅（平墅）'!住宅建筑结构</vt:lpstr>
      <vt:lpstr>住宅建筑结构</vt:lpstr>
      <vt:lpstr>'比较法-住宅（平墅）'!住宅建筑类型</vt:lpstr>
      <vt:lpstr>住宅建筑类型</vt:lpstr>
      <vt:lpstr>'比较法-住宅（平墅）'!住宅建筑品质</vt:lpstr>
      <vt:lpstr>住宅建筑品质</vt:lpstr>
      <vt:lpstr>'比较法-住宅（平墅）'!住宅交易情况</vt:lpstr>
      <vt:lpstr>住宅交易情况</vt:lpstr>
      <vt:lpstr>'比较法-住宅（平墅）'!住宅楼层</vt:lpstr>
      <vt:lpstr>住宅楼层</vt:lpstr>
      <vt:lpstr>'比较法-住宅（平墅）'!住宅内部装修</vt:lpstr>
      <vt:lpstr>住宅内部装修</vt:lpstr>
      <vt:lpstr>'比较法-住宅（平墅）'!住宅物业管理</vt:lpstr>
      <vt:lpstr>住宅物业管理</vt:lpstr>
      <vt:lpstr>'比较法-住宅（平墅）'!住宅用途</vt:lpstr>
      <vt:lpstr>住宅用途</vt:lpstr>
      <vt:lpstr>'比较法-住宅（平墅）'!住宅主力户型面积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2019-10-25T08:41:31Z</dcterms:modified>
</cp:coreProperties>
</file>