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剩余法-现房" sheetId="43"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s>
  <externalReferences>
    <externalReference r:id="rId43"/>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G21" i="6" l="1"/>
  <c r="E119" i="39" l="1"/>
  <c r="F119" i="39" s="1"/>
  <c r="G119" i="39" s="1"/>
  <c r="H119" i="39" s="1"/>
  <c r="I119" i="39" s="1"/>
  <c r="J119" i="39" s="1"/>
  <c r="K119" i="39" s="1"/>
  <c r="L119" i="39" s="1"/>
  <c r="D119" i="39"/>
  <c r="F20" i="6" l="1"/>
  <c r="F19" i="6"/>
  <c r="A3" i="3"/>
  <c r="I7" i="39" l="1"/>
  <c r="G7" i="39"/>
  <c r="E7" i="39"/>
  <c r="D14" i="9" l="1"/>
  <c r="E73" i="39" l="1"/>
  <c r="F73" i="39" s="1"/>
  <c r="G73" i="39" s="1"/>
  <c r="H73" i="39" s="1"/>
  <c r="I73" i="39" s="1"/>
  <c r="J73" i="39" s="1"/>
  <c r="K73" i="39" s="1"/>
  <c r="L73" i="39" s="1"/>
  <c r="M73" i="39" s="1"/>
  <c r="N73" i="39" s="1"/>
  <c r="D73" i="39"/>
  <c r="I40" i="39" l="1"/>
  <c r="G40" i="39"/>
  <c r="E40" i="39"/>
  <c r="I48" i="39"/>
  <c r="G48" i="39"/>
  <c r="E48" i="39"/>
  <c r="C40" i="39"/>
  <c r="D120" i="39"/>
  <c r="E120" i="39" s="1"/>
  <c r="F120" i="39" s="1"/>
  <c r="G120" i="39" s="1"/>
  <c r="H120" i="39" s="1"/>
  <c r="I120" i="39" s="1"/>
  <c r="J120" i="39" s="1"/>
  <c r="K120" i="39" s="1"/>
  <c r="L120" i="39" s="1"/>
  <c r="I9" i="39"/>
  <c r="G9" i="39"/>
  <c r="E9" i="39"/>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8" i="68"/>
  <c r="M26" i="68"/>
  <c r="M23" i="68"/>
  <c r="F9" i="68"/>
  <c r="F37" i="68"/>
  <c r="F6" i="68"/>
  <c r="F13" i="68"/>
  <c r="J15" i="68"/>
  <c r="M24" i="68"/>
  <c r="F36" i="68"/>
  <c r="M9" i="68"/>
  <c r="M28" i="68"/>
  <c r="M8" i="68"/>
  <c r="F26" i="68"/>
  <c r="M22" i="68"/>
  <c r="F38" i="68"/>
  <c r="F16" i="68"/>
  <c r="C76" i="68"/>
  <c r="F40" i="68"/>
  <c r="F42" i="68"/>
  <c r="F51" i="68" l="1"/>
  <c r="F66" i="68"/>
  <c r="C27" i="68"/>
  <c r="F65" i="68"/>
  <c r="F64" i="68"/>
  <c r="F70" i="68"/>
  <c r="Q71" i="68"/>
  <c r="F68"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B8" i="67"/>
  <c r="F8" i="67"/>
  <c r="B12" i="67"/>
  <c r="B13" i="67"/>
  <c r="B11" i="67"/>
  <c r="E9" i="67"/>
  <c r="E8" i="67"/>
  <c r="E10" i="67"/>
  <c r="B10" i="67"/>
  <c r="E12" i="67"/>
  <c r="E14" i="67"/>
  <c r="B14" i="67"/>
  <c r="F10" i="67"/>
  <c r="B9" i="67"/>
  <c r="F14" i="67"/>
  <c r="F9" i="67"/>
  <c r="F13" i="67"/>
  <c r="E13" i="67"/>
  <c r="F11" i="67"/>
  <c r="E11" i="67"/>
  <c r="F12"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N6" i="65"/>
  <c r="N5" i="65"/>
  <c r="N3" i="65"/>
  <c r="I3" i="65"/>
  <c r="C4" i="65" l="1"/>
  <c r="B39" i="1" s="1"/>
  <c r="J6" i="65"/>
  <c r="J5" i="65"/>
  <c r="I4" i="65"/>
  <c r="J4" i="65"/>
  <c r="I5" i="65"/>
  <c r="I6" i="65"/>
  <c r="J7" i="65"/>
  <c r="J3" i="65"/>
  <c r="I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1" i="59" l="1"/>
  <c r="Y10" i="59"/>
  <c r="Z10" i="59" s="1"/>
  <c r="F11" i="59"/>
  <c r="AB10" i="59"/>
  <c r="B11" i="59"/>
  <c r="X10" i="59"/>
  <c r="AA13" i="59"/>
  <c r="C15" i="59"/>
  <c r="Y14" i="59"/>
  <c r="Z14" i="59" s="1"/>
  <c r="F15" i="59"/>
  <c r="AB14" i="59"/>
  <c r="AB17" i="59"/>
  <c r="B19" i="59"/>
  <c r="B20" i="59" s="1"/>
  <c r="B21" i="59" s="1"/>
  <c r="S21" i="59" s="1"/>
  <c r="X18" i="59"/>
  <c r="E19" i="59"/>
  <c r="E20" i="59" s="1"/>
  <c r="E21" i="59" s="1"/>
  <c r="U21" i="59" s="1"/>
  <c r="AA18" i="59"/>
  <c r="B9" i="59"/>
  <c r="X5" i="59"/>
  <c r="E9" i="59"/>
  <c r="AA5"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l="1"/>
  <c r="D6" i="59"/>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J5" i="3" s="1"/>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AZ115" i="3" s="1"/>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BL174" i="3"/>
  <c r="G175" i="3"/>
  <c r="BA178" i="3"/>
  <c r="AZ178" i="3"/>
  <c r="BL179" i="3"/>
  <c r="G180"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66" i="3"/>
  <c r="AZ74" i="3"/>
  <c r="AZ90" i="3"/>
  <c r="AZ98" i="3"/>
  <c r="G491" i="3"/>
  <c r="BA298" i="3"/>
  <c r="AZ298" i="3"/>
  <c r="BA299" i="3"/>
  <c r="AZ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74" i="3"/>
  <c r="AZ187" i="3"/>
  <c r="AZ195" i="3"/>
  <c r="AZ203" i="3"/>
  <c r="G523" i="3"/>
  <c r="BL297" i="3"/>
  <c r="G298" i="3"/>
  <c r="BA300" i="3"/>
  <c r="BL301" i="3"/>
  <c r="G302" i="3"/>
  <c r="BA304" i="3"/>
  <c r="AZ304" i="3" s="1"/>
  <c r="BL305" i="3"/>
  <c r="G306" i="3"/>
  <c r="BA308" i="3"/>
  <c r="BL309" i="3"/>
  <c r="G310" i="3"/>
  <c r="BA310" i="3"/>
  <c r="AZ310" i="3" s="1"/>
  <c r="BL311" i="3"/>
  <c r="G312" i="3"/>
  <c r="BA312" i="3"/>
  <c r="AZ312" i="3" s="1"/>
  <c r="BL313" i="3"/>
  <c r="AZ313" i="3" s="1"/>
  <c r="G314" i="3"/>
  <c r="BA314" i="3"/>
  <c r="AZ314" i="3" s="1"/>
  <c r="BL315" i="3"/>
  <c r="G316" i="3"/>
  <c r="BA316" i="3"/>
  <c r="BL317" i="3"/>
  <c r="AZ317" i="3" s="1"/>
  <c r="G318" i="3"/>
  <c r="BA320" i="3"/>
  <c r="AZ320" i="3" s="1"/>
  <c r="BL321" i="3"/>
  <c r="G322" i="3"/>
  <c r="BA324" i="3"/>
  <c r="AZ324" i="3" s="1"/>
  <c r="BL325" i="3"/>
  <c r="G326" i="3"/>
  <c r="BA328" i="3"/>
  <c r="AZ328" i="3" s="1"/>
  <c r="BL329" i="3"/>
  <c r="AZ329" i="3" s="1"/>
  <c r="G330" i="3"/>
  <c r="BA332" i="3"/>
  <c r="AZ332" i="3" s="1"/>
  <c r="BL333" i="3"/>
  <c r="AZ333" i="3" s="1"/>
  <c r="G334" i="3"/>
  <c r="BA336" i="3"/>
  <c r="AZ336" i="3" s="1"/>
  <c r="BL337" i="3"/>
  <c r="G338" i="3"/>
  <c r="BA340" i="3"/>
  <c r="AZ340" i="3" s="1"/>
  <c r="BL341" i="3"/>
  <c r="G342" i="3"/>
  <c r="BA344" i="3"/>
  <c r="AZ344" i="3" s="1"/>
  <c r="BL345" i="3"/>
  <c r="AZ345" i="3" s="1"/>
  <c r="G346" i="3"/>
  <c r="BA348" i="3"/>
  <c r="BL349" i="3"/>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53" i="3"/>
  <c r="AZ363" i="3"/>
  <c r="G368" i="3"/>
  <c r="BA370" i="3"/>
  <c r="BL371" i="3"/>
  <c r="AZ371" i="3" s="1"/>
  <c r="G372" i="3"/>
  <c r="BA374" i="3"/>
  <c r="AZ374" i="3" s="1"/>
  <c r="BL375" i="3"/>
  <c r="AZ375" i="3" s="1"/>
  <c r="G376" i="3"/>
  <c r="BA378" i="3"/>
  <c r="AZ378" i="3" s="1"/>
  <c r="BL379" i="3"/>
  <c r="AZ379" i="3" s="1"/>
  <c r="G380" i="3"/>
  <c r="BA382" i="3"/>
  <c r="BL383" i="3"/>
  <c r="G384" i="3"/>
  <c r="AZ249" i="3"/>
  <c r="AZ261" i="3"/>
  <c r="AZ265" i="3"/>
  <c r="AZ383" i="3"/>
  <c r="AZ270" i="3"/>
  <c r="AZ282" i="3"/>
  <c r="AZ286" i="3"/>
  <c r="AZ295" i="3"/>
  <c r="AZ303" i="3"/>
  <c r="AZ347" i="3"/>
  <c r="AZ351" i="3"/>
  <c r="AZ361" i="3"/>
  <c r="AZ38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28" i="3"/>
  <c r="AZ433" i="3"/>
  <c r="AZ441" i="3"/>
  <c r="AZ444" i="3"/>
  <c r="AZ452" i="3"/>
  <c r="M1" i="46"/>
  <c r="M6" i="46"/>
  <c r="M10" i="46"/>
  <c r="N2" i="46"/>
  <c r="N5" i="46"/>
  <c r="F58" i="46" s="1"/>
  <c r="F47" i="46"/>
  <c r="H49" i="46" s="1"/>
  <c r="N7" i="46"/>
  <c r="AZ456" i="3"/>
  <c r="AZ458" i="3"/>
  <c r="AZ461" i="3"/>
  <c r="AZ474" i="3"/>
  <c r="AZ477" i="3"/>
  <c r="AZ388" i="3"/>
  <c r="AZ215" i="3"/>
  <c r="AZ220" i="3"/>
  <c r="AZ231" i="3"/>
  <c r="AZ236" i="3"/>
  <c r="AZ247" i="3"/>
  <c r="AZ252" i="3"/>
  <c r="AZ263" i="3"/>
  <c r="AZ268" i="3"/>
  <c r="AZ281" i="3"/>
  <c r="AZ284" i="3"/>
  <c r="AZ289" i="3"/>
  <c r="AZ137" i="3"/>
  <c r="AZ152" i="3"/>
  <c r="M7" i="46"/>
  <c r="M11" i="46"/>
  <c r="N3" i="46"/>
  <c r="N6" i="46"/>
  <c r="N10" i="46"/>
  <c r="AZ167" i="3"/>
  <c r="AZ180" i="3"/>
  <c r="AZ40" i="3"/>
  <c r="AZ56" i="3"/>
  <c r="AZ71" i="3"/>
  <c r="AZ99" i="3"/>
  <c r="AZ107" i="3"/>
  <c r="J13" i="40"/>
  <c r="W13" i="40" s="1"/>
  <c r="AB14" i="40"/>
  <c r="W40" i="40"/>
  <c r="F27" i="43"/>
  <c r="F71" i="9"/>
  <c r="AC14" i="40"/>
  <c r="S33"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U16" i="40"/>
  <c r="W34" i="40"/>
  <c r="AB34" i="40"/>
  <c r="AB42" i="40"/>
  <c r="U42" i="40"/>
  <c r="AC16" i="40"/>
  <c r="W32" i="40"/>
  <c r="H25" i="40"/>
  <c r="AB25" i="40" s="1"/>
  <c r="F94" i="40"/>
  <c r="G94" i="40" s="1"/>
  <c r="U47" i="39"/>
  <c r="W15" i="39"/>
  <c r="J37" i="34"/>
  <c r="AC37" i="34" s="1"/>
  <c r="J36" i="33"/>
  <c r="W36" i="33" s="1"/>
  <c r="S41" i="40"/>
  <c r="AB23" i="40"/>
  <c r="H23" i="39"/>
  <c r="AB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AA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L47" i="68"/>
  <c r="G10" i="1" l="1"/>
  <c r="G13" i="1"/>
  <c r="F8" i="1"/>
  <c r="AP8" i="1" s="1"/>
  <c r="W14" i="39"/>
  <c r="AZ552" i="3"/>
  <c r="AZ370" i="3"/>
  <c r="AZ305" i="3"/>
  <c r="AZ381" i="3"/>
  <c r="AZ359" i="3"/>
  <c r="AZ358" i="3"/>
  <c r="AZ355" i="3"/>
  <c r="AZ307" i="3"/>
  <c r="AZ327" i="3"/>
  <c r="AZ502" i="3"/>
  <c r="AZ550" i="3"/>
  <c r="AZ556" i="3"/>
  <c r="S38" i="37"/>
  <c r="AA38" i="37"/>
  <c r="AA31" i="33"/>
  <c r="S31" i="33"/>
  <c r="W24" i="36"/>
  <c r="AC24" i="36"/>
  <c r="AC39" i="37"/>
  <c r="W39" i="37"/>
  <c r="S17" i="34"/>
  <c r="AB32" i="40"/>
  <c r="W35" i="40"/>
  <c r="F72" i="9"/>
  <c r="F66" i="9"/>
  <c r="P72" i="9" s="1"/>
  <c r="H47" i="46"/>
  <c r="AZ490" i="3"/>
  <c r="AZ507" i="3"/>
  <c r="AZ513" i="3"/>
  <c r="AZ523" i="3"/>
  <c r="AZ567" i="3"/>
  <c r="H29" i="39"/>
  <c r="U29" i="39" s="1"/>
  <c r="F29" i="39"/>
  <c r="AA29" i="39" s="1"/>
  <c r="AZ571" i="3"/>
  <c r="AZ354" i="3"/>
  <c r="BF5" i="3"/>
  <c r="F12" i="35"/>
  <c r="H12" i="36"/>
  <c r="U12" i="36" s="1"/>
  <c r="H24" i="36"/>
  <c r="G568" i="3"/>
  <c r="G553" i="3"/>
  <c r="G548" i="3"/>
  <c r="G541" i="3"/>
  <c r="G533" i="3"/>
  <c r="G527" i="3"/>
  <c r="G519" i="3"/>
  <c r="G509" i="3"/>
  <c r="G503" i="3"/>
  <c r="G495" i="3"/>
  <c r="G486" i="3"/>
  <c r="C92" i="9"/>
  <c r="AZ395" i="3"/>
  <c r="AZ417" i="3"/>
  <c r="AZ418" i="3"/>
  <c r="AZ420" i="3"/>
  <c r="AZ432" i="3"/>
  <c r="AZ450" i="3"/>
  <c r="AZ297" i="3"/>
  <c r="AZ301" i="3"/>
  <c r="AZ306" i="3"/>
  <c r="AZ315" i="3"/>
  <c r="AZ319" i="3"/>
  <c r="AZ326" i="3"/>
  <c r="AZ337" i="3"/>
  <c r="AZ341" i="3"/>
  <c r="AZ542" i="3"/>
  <c r="AB13" i="35"/>
  <c r="BA570" i="3"/>
  <c r="AZ570" i="3" s="1"/>
  <c r="BG5" i="3"/>
  <c r="F7" i="1"/>
  <c r="AP7" i="1" s="1"/>
  <c r="BA389" i="3"/>
  <c r="AZ389" i="3" s="1"/>
  <c r="BA390" i="3"/>
  <c r="AZ390" i="3" s="1"/>
  <c r="BA391" i="3"/>
  <c r="AZ391" i="3" s="1"/>
  <c r="G394" i="3"/>
  <c r="G395" i="3"/>
  <c r="BL395" i="3"/>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49" i="3"/>
  <c r="AZ349" i="3" s="1"/>
  <c r="BL350" i="3"/>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G288" i="3"/>
  <c r="BL288" i="3"/>
  <c r="BL290" i="3"/>
  <c r="AZ290" i="3" s="1"/>
  <c r="BA291" i="3"/>
  <c r="AZ291" i="3" s="1"/>
  <c r="BA292" i="3"/>
  <c r="AZ292" i="3" s="1"/>
  <c r="G295" i="3"/>
  <c r="G296" i="3"/>
  <c r="BL296" i="3"/>
  <c r="BA113" i="3"/>
  <c r="AZ113" i="3" s="1"/>
  <c r="BL114" i="3"/>
  <c r="AZ114" i="3" s="1"/>
  <c r="BA116" i="3"/>
  <c r="AZ116" i="3" s="1"/>
  <c r="G119" i="3"/>
  <c r="BL121" i="3"/>
  <c r="AZ121" i="3" s="1"/>
  <c r="AZ387" i="3"/>
  <c r="AZ216" i="3"/>
  <c r="AZ219" i="3"/>
  <c r="AZ235" i="3"/>
  <c r="AZ248" i="3"/>
  <c r="AZ251" i="3"/>
  <c r="AZ267" i="3"/>
  <c r="AZ271" i="3"/>
  <c r="AZ283" i="3"/>
  <c r="G123" i="3"/>
  <c r="BA124" i="3"/>
  <c r="AZ124" i="3" s="1"/>
  <c r="G127" i="3"/>
  <c r="G130" i="3"/>
  <c r="G133" i="3"/>
  <c r="BL133" i="3"/>
  <c r="BA135" i="3"/>
  <c r="AZ135" i="3" s="1"/>
  <c r="BL136" i="3"/>
  <c r="AZ136" i="3" s="1"/>
  <c r="G139" i="3"/>
  <c r="BA140" i="3"/>
  <c r="AZ140" i="3" s="1"/>
  <c r="G143" i="3"/>
  <c r="G146" i="3"/>
  <c r="G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AZ133" i="3"/>
  <c r="AZ149" i="3"/>
  <c r="AZ168" i="3"/>
  <c r="AZ171" i="3"/>
  <c r="AZ194" i="3"/>
  <c r="G203" i="3"/>
  <c r="G204" i="3"/>
  <c r="BL204" i="3"/>
  <c r="G21" i="3"/>
  <c r="BL22" i="3"/>
  <c r="G23" i="3"/>
  <c r="G24" i="3"/>
  <c r="BA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BA102" i="3"/>
  <c r="AZ102" i="3" s="1"/>
  <c r="BA104" i="3"/>
  <c r="AZ104" i="3" s="1"/>
  <c r="BL106" i="3"/>
  <c r="AZ106" i="3" s="1"/>
  <c r="BA108" i="3"/>
  <c r="AZ108" i="3" s="1"/>
  <c r="BL110" i="3"/>
  <c r="AZ110" i="3" s="1"/>
  <c r="BA111" i="3"/>
  <c r="AZ111" i="3" s="1"/>
  <c r="BA112" i="3"/>
  <c r="AZ112" i="3" s="1"/>
  <c r="G51" i="3"/>
  <c r="G52" i="3"/>
  <c r="BL52" i="3"/>
  <c r="BA53" i="3"/>
  <c r="AZ53" i="3" s="1"/>
  <c r="BL55" i="3"/>
  <c r="AZ55" i="3" s="1"/>
  <c r="G58" i="3"/>
  <c r="BL58" i="3"/>
  <c r="G61" i="3"/>
  <c r="BL61" i="3"/>
  <c r="BA62" i="3"/>
  <c r="AZ62" i="3" s="1"/>
  <c r="BA63" i="3"/>
  <c r="AZ63" i="3" s="1"/>
  <c r="G66" i="3"/>
  <c r="G67" i="3"/>
  <c r="BL67" i="3"/>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E26" i="57"/>
  <c r="I10" i="57"/>
  <c r="J23" i="39"/>
  <c r="AC23" i="39" s="1"/>
  <c r="F23" i="39"/>
  <c r="AA23" i="39" s="1"/>
  <c r="AC33" i="39"/>
  <c r="U34" i="39"/>
  <c r="AB37" i="39"/>
  <c r="J38" i="39"/>
  <c r="W38" i="39" s="1"/>
  <c r="S36" i="39"/>
  <c r="AB44" i="39"/>
  <c r="AB29" i="39"/>
  <c r="J27" i="39"/>
  <c r="AC27" i="39" s="1"/>
  <c r="F27" i="39"/>
  <c r="AA27" i="39" s="1"/>
  <c r="W27" i="39"/>
  <c r="U27" i="39"/>
  <c r="F25" i="39"/>
  <c r="AA25" i="39" s="1"/>
  <c r="H25" i="39"/>
  <c r="U25" i="39" s="1"/>
  <c r="F91" i="39"/>
  <c r="G91" i="39" s="1"/>
  <c r="H17" i="39"/>
  <c r="U17" i="39" s="1"/>
  <c r="F17" i="39"/>
  <c r="AA17" i="39" s="1"/>
  <c r="J17" i="39"/>
  <c r="W17" i="39" s="1"/>
  <c r="AB17" i="39"/>
  <c r="AZ20" i="3"/>
  <c r="BA25" i="3"/>
  <c r="AZ25" i="3" s="1"/>
  <c r="BA24" i="3"/>
  <c r="AZ24" i="3" s="1"/>
  <c r="BA22" i="3"/>
  <c r="BA21" i="3"/>
  <c r="AZ21" i="3" s="1"/>
  <c r="BL23" i="3"/>
  <c r="AZ23" i="3" s="1"/>
  <c r="G14" i="3"/>
  <c r="N59" i="68"/>
  <c r="M59" i="68"/>
  <c r="L59" i="68"/>
  <c r="AZ484" i="3"/>
  <c r="AC9" i="33"/>
  <c r="W9" i="33"/>
  <c r="S28" i="34"/>
  <c r="AA28" i="34"/>
  <c r="U45" i="33"/>
  <c r="AB45" i="33"/>
  <c r="U27" i="37"/>
  <c r="AB27" i="37"/>
  <c r="AZ392" i="3"/>
  <c r="AZ397" i="3"/>
  <c r="AZ408" i="3"/>
  <c r="AZ413" i="3"/>
  <c r="AZ424" i="3"/>
  <c r="AZ437" i="3"/>
  <c r="AZ448" i="3"/>
  <c r="AZ468" i="3"/>
  <c r="AZ472" i="3"/>
  <c r="U27" i="33"/>
  <c r="AB27" i="33"/>
  <c r="W27" i="34"/>
  <c r="AC27" i="34"/>
  <c r="AC26" i="37"/>
  <c r="W26" i="37"/>
  <c r="J17" i="40"/>
  <c r="F86" i="40"/>
  <c r="G86" i="40" s="1"/>
  <c r="U31" i="37"/>
  <c r="AA23" i="37"/>
  <c r="AB43" i="33"/>
  <c r="AB44" i="21"/>
  <c r="AC28" i="33"/>
  <c r="S46" i="33"/>
  <c r="W42" i="21"/>
  <c r="AB30" i="21"/>
  <c r="S46" i="21"/>
  <c r="BI5" i="3"/>
  <c r="F9" i="33"/>
  <c r="AA9" i="33" s="1"/>
  <c r="J12" i="35"/>
  <c r="J36" i="35"/>
  <c r="F26" i="37"/>
  <c r="AA26" i="37" s="1"/>
  <c r="C18" i="9"/>
  <c r="AZ287" i="3"/>
  <c r="H5" i="3"/>
  <c r="A30" i="51"/>
  <c r="B22" i="63" s="1"/>
  <c r="A30" i="64"/>
  <c r="AZ350" i="3"/>
  <c r="AZ208" i="3"/>
  <c r="AZ211" i="3"/>
  <c r="AZ224" i="3"/>
  <c r="AZ227" i="3"/>
  <c r="AZ240" i="3"/>
  <c r="AZ243" i="3"/>
  <c r="AZ256" i="3"/>
  <c r="AZ259" i="3"/>
  <c r="AZ275" i="3"/>
  <c r="AZ279" i="3"/>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6" i="3"/>
  <c r="AZ80" i="3"/>
  <c r="AZ83" i="3"/>
  <c r="AZ96" i="3"/>
  <c r="AZ100" i="3"/>
  <c r="AZ103" i="3"/>
  <c r="AZ105"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M6" i="15"/>
  <c r="F37" i="15"/>
  <c r="F9" i="44"/>
  <c r="F13" i="15"/>
  <c r="L49" i="44"/>
  <c r="F43" i="44"/>
  <c r="M31" i="44"/>
  <c r="M11" i="44"/>
  <c r="M26" i="44"/>
  <c r="F40" i="44"/>
  <c r="M30" i="44"/>
  <c r="F42" i="15"/>
  <c r="F39" i="44"/>
  <c r="F7" i="68"/>
  <c r="M10" i="44"/>
  <c r="L48" i="68"/>
  <c r="F9" i="15"/>
  <c r="F28" i="44"/>
  <c r="F8" i="44"/>
  <c r="M29" i="68"/>
  <c r="F31" i="68"/>
  <c r="F45" i="44"/>
  <c r="F11" i="44"/>
  <c r="M28" i="44"/>
  <c r="M25" i="44"/>
  <c r="L48" i="44"/>
  <c r="F43" i="68"/>
  <c r="F18" i="44"/>
  <c r="M8" i="44"/>
  <c r="M8" i="15"/>
  <c r="F40" i="15"/>
  <c r="F10" i="44"/>
  <c r="M24" i="15"/>
  <c r="F38" i="44"/>
  <c r="M24" i="44"/>
  <c r="F15" i="44"/>
  <c r="J17" i="44"/>
  <c r="G7" i="1" l="1"/>
  <c r="G8" i="1"/>
  <c r="S23" i="39"/>
  <c r="S17" i="39"/>
  <c r="AB24" i="36"/>
  <c r="U24" i="36"/>
  <c r="AA12" i="35"/>
  <c r="S12" i="35"/>
  <c r="AB25" i="39"/>
  <c r="F71" i="68"/>
  <c r="M7" i="68"/>
  <c r="F50" i="68"/>
  <c r="C6" i="68"/>
  <c r="C5" i="68" s="1"/>
  <c r="J57" i="68"/>
  <c r="J55" i="68" s="1"/>
  <c r="J58" i="68" s="1"/>
  <c r="Q50" i="68" s="1"/>
  <c r="L56" i="68"/>
  <c r="I54" i="68"/>
  <c r="L58" i="68"/>
  <c r="M6" i="1"/>
  <c r="C15" i="43" s="1"/>
  <c r="W12" i="35"/>
  <c r="AC12" i="35"/>
  <c r="C16" i="46"/>
  <c r="C5" i="46" s="1"/>
  <c r="T8" i="46" s="1"/>
  <c r="V8" i="46" s="1"/>
  <c r="AP6" i="1"/>
  <c r="AP16" i="1" s="1"/>
  <c r="F22" i="11" s="1"/>
  <c r="AC36" i="35"/>
  <c r="W36" i="35"/>
  <c r="Q61" i="68"/>
  <c r="Q74" i="68"/>
  <c r="G6" i="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E4" i="4"/>
  <c r="C4" i="4"/>
  <c r="F64" i="15"/>
  <c r="F50" i="15"/>
  <c r="F67" i="15"/>
  <c r="G66" i="36"/>
  <c r="J18" i="36"/>
  <c r="AE7" i="1"/>
  <c r="AE6" i="1"/>
  <c r="M19" i="44"/>
  <c r="J15" i="15"/>
  <c r="F26" i="15"/>
  <c r="AE8" i="1"/>
  <c r="M9" i="15"/>
  <c r="L47" i="15"/>
  <c r="J36" i="15"/>
  <c r="M26" i="15"/>
  <c r="F46" i="44"/>
  <c r="F7" i="15"/>
  <c r="F16" i="15"/>
  <c r="M23" i="15"/>
  <c r="M22" i="15"/>
  <c r="F41" i="15"/>
  <c r="L48" i="15"/>
  <c r="F59" i="68"/>
  <c r="F41" i="68"/>
  <c r="F38" i="15"/>
  <c r="M29" i="15"/>
  <c r="F33" i="44"/>
  <c r="M17" i="68"/>
  <c r="C18" i="44"/>
  <c r="M28" i="15"/>
  <c r="C16" i="68"/>
  <c r="F36" i="15"/>
  <c r="F43" i="15"/>
  <c r="F6" i="15"/>
  <c r="G16" i="1" l="1"/>
  <c r="J12" i="40" s="1"/>
  <c r="F70" i="15"/>
  <c r="C27" i="15"/>
  <c r="J7" i="35"/>
  <c r="AC7" i="35" s="1"/>
  <c r="V38" i="35" s="1"/>
  <c r="I38" i="35" s="1"/>
  <c r="C38" i="46"/>
  <c r="G38" i="46" s="1"/>
  <c r="I38" i="46" s="1"/>
  <c r="T15" i="46"/>
  <c r="V15" i="46" s="1"/>
  <c r="T11" i="46"/>
  <c r="V11" i="46" s="1"/>
  <c r="T16" i="46"/>
  <c r="V16" i="46" s="1"/>
  <c r="T12" i="46"/>
  <c r="V12" i="46" s="1"/>
  <c r="C29" i="46"/>
  <c r="E29" i="46" s="1"/>
  <c r="K104" i="46"/>
  <c r="J109" i="46"/>
  <c r="F7" i="36"/>
  <c r="F7" i="35"/>
  <c r="J7" i="34"/>
  <c r="K107" i="46"/>
  <c r="F103" i="46"/>
  <c r="F106" i="46"/>
  <c r="C105" i="46"/>
  <c r="J105" i="46"/>
  <c r="C107" i="46"/>
  <c r="C104" i="46"/>
  <c r="J107" i="46"/>
  <c r="O6" i="1"/>
  <c r="P6" i="1" s="1"/>
  <c r="C15" i="12" s="1"/>
  <c r="F65" i="15"/>
  <c r="J57" i="15"/>
  <c r="J55" i="15" s="1"/>
  <c r="J58" i="15" s="1"/>
  <c r="Q51" i="15" s="1"/>
  <c r="I54" i="15"/>
  <c r="L56" i="15"/>
  <c r="F63" i="15"/>
  <c r="Q72" i="15"/>
  <c r="C6" i="15"/>
  <c r="C5" i="15" s="1"/>
  <c r="L58" i="15"/>
  <c r="Q74" i="15" s="1"/>
  <c r="L59" i="15"/>
  <c r="Q75" i="15" s="1"/>
  <c r="F49" i="15"/>
  <c r="C48" i="15" s="1"/>
  <c r="M7" i="15"/>
  <c r="C49" i="68"/>
  <c r="C48" i="68" s="1"/>
  <c r="Q60" i="68"/>
  <c r="Q73" i="68"/>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4" i="1"/>
  <c r="E30"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W12" i="40"/>
  <c r="E46" i="37"/>
  <c r="F46" i="37" s="1"/>
  <c r="C48" i="33"/>
  <c r="C49" i="33"/>
  <c r="B3" i="33" s="1"/>
  <c r="B2" i="33" s="1"/>
  <c r="M29" i="44"/>
  <c r="M27" i="15"/>
  <c r="M27" i="68"/>
  <c r="F58" i="15"/>
  <c r="M17" i="15"/>
  <c r="F7" i="67"/>
  <c r="C16" i="15"/>
  <c r="F31" i="15"/>
  <c r="L52" i="44"/>
  <c r="I53" i="34" l="1"/>
  <c r="J53" i="34" s="1"/>
  <c r="K15" i="1"/>
  <c r="L19" i="6"/>
  <c r="Q61" i="15"/>
  <c r="S5" i="46"/>
  <c r="T5" i="46" s="1"/>
  <c r="V5" i="46" s="1"/>
  <c r="S2" i="46"/>
  <c r="T2" i="46" s="1"/>
  <c r="V2" i="46" s="1"/>
  <c r="S3" i="46"/>
  <c r="T3" i="46" s="1"/>
  <c r="V3" i="46" s="1"/>
  <c r="S6" i="46"/>
  <c r="T6" i="46" s="1"/>
  <c r="V6" i="46" s="1"/>
  <c r="S7" i="46"/>
  <c r="T7" i="46" s="1"/>
  <c r="V7" i="46" s="1"/>
  <c r="S4" i="46"/>
  <c r="T4" i="46" s="1"/>
  <c r="V4" i="46" s="1"/>
  <c r="Q62" i="15"/>
  <c r="AB12" i="39"/>
  <c r="J26" i="68"/>
  <c r="J29" i="68" s="1"/>
  <c r="J18" i="68"/>
  <c r="J24" i="68"/>
  <c r="C66" i="68"/>
  <c r="C60"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E7" i="67"/>
  <c r="C17" i="15"/>
  <c r="G46" i="37" l="1"/>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68" i="39" l="1"/>
  <c r="E63" i="40"/>
  <c r="B2" i="67"/>
  <c r="B4" i="46"/>
  <c r="B3" i="46"/>
  <c r="O16" i="1"/>
  <c r="P14" i="1"/>
  <c r="P16" i="1" s="1"/>
  <c r="C13" i="12" s="1"/>
  <c r="C13" i="43"/>
  <c r="L16" i="1"/>
  <c r="N16" i="1"/>
  <c r="C29" i="43" s="1"/>
  <c r="D22" i="12"/>
  <c r="C22" i="12" s="1"/>
  <c r="C20" i="12" s="1"/>
  <c r="D13" i="11"/>
  <c r="C13" i="11" s="1"/>
  <c r="D19" i="12"/>
  <c r="C19" i="12" s="1"/>
  <c r="C16" i="12"/>
  <c r="C22" i="4"/>
  <c r="K38" i="9"/>
  <c r="C14" i="66" s="1"/>
  <c r="B2" i="66" s="1"/>
  <c r="D19" i="6"/>
  <c r="D24" i="6"/>
  <c r="D21" i="6"/>
  <c r="D26" i="6"/>
  <c r="D22" i="6"/>
  <c r="D10" i="6"/>
  <c r="D11" i="6"/>
  <c r="D13" i="6"/>
  <c r="D12" i="6"/>
  <c r="D6" i="6"/>
  <c r="D9" i="6"/>
  <c r="D23" i="6"/>
  <c r="D5" i="6"/>
  <c r="D14" i="6"/>
  <c r="D29" i="6"/>
  <c r="D28" i="6"/>
  <c r="D20" i="6"/>
  <c r="D15" i="6"/>
  <c r="D8" i="6"/>
  <c r="B4" i="11"/>
  <c r="B5" i="11"/>
  <c r="E53" i="21"/>
  <c r="F53" i="21" s="1"/>
  <c r="E52" i="21"/>
  <c r="F52" i="21" s="1"/>
  <c r="C48" i="21"/>
  <c r="C49" i="21"/>
  <c r="B3" i="21" s="1"/>
  <c r="B2" i="21" s="1"/>
  <c r="I53" i="21"/>
  <c r="J53" i="21" s="1"/>
  <c r="I70" i="39"/>
  <c r="H72" i="39"/>
  <c r="I65" i="40"/>
  <c r="H67" i="40"/>
  <c r="B3" i="67" l="1"/>
  <c r="B4" i="67"/>
  <c r="C17" i="12"/>
  <c r="C14" i="12"/>
  <c r="D16" i="6"/>
  <c r="D30" i="6"/>
  <c r="A6" i="51"/>
  <c r="B7" i="63" s="1"/>
  <c r="A20" i="64"/>
  <c r="A6" i="64"/>
  <c r="A20" i="51"/>
  <c r="B15" i="63" s="1"/>
  <c r="N5" i="54"/>
  <c r="B43" i="63" s="1"/>
  <c r="C17" i="43"/>
  <c r="C14" i="43"/>
  <c r="J65" i="40"/>
  <c r="I67" i="40"/>
  <c r="J70" i="39"/>
  <c r="I72" i="39"/>
  <c r="C47" i="15"/>
  <c r="J59" i="68" l="1"/>
  <c r="J60" i="68" s="1"/>
  <c r="C18" i="12"/>
  <c r="C18" i="43"/>
  <c r="K70" i="39"/>
  <c r="J72" i="39"/>
  <c r="K65" i="40"/>
  <c r="J67" i="40"/>
  <c r="C65" i="15"/>
  <c r="C59" i="15"/>
  <c r="Q48" i="68" l="1"/>
  <c r="C23" i="12"/>
  <c r="C19" i="43"/>
  <c r="C22" i="43" s="1"/>
  <c r="C21" i="43" s="1"/>
  <c r="K67" i="40"/>
  <c r="L65" i="40"/>
  <c r="K72" i="39"/>
  <c r="L70" i="39"/>
  <c r="C25" i="43" l="1"/>
  <c r="C24" i="43" s="1"/>
  <c r="C28" i="43" s="1"/>
  <c r="C30" i="43" s="1"/>
  <c r="L72" i="39"/>
  <c r="M70" i="39"/>
  <c r="M65" i="40"/>
  <c r="L67" i="40"/>
  <c r="C32" i="43" l="1"/>
  <c r="B2" i="43" s="1"/>
  <c r="N70" i="39"/>
  <c r="N72" i="39" s="1"/>
  <c r="M72" i="39"/>
  <c r="N65" i="40"/>
  <c r="N67" i="40" s="1"/>
  <c r="M67" i="40"/>
  <c r="B3" i="43" l="1"/>
  <c r="B5" i="43"/>
  <c r="B4" i="43"/>
  <c r="J9" i="40"/>
  <c r="F9" i="40"/>
  <c r="H9" i="40"/>
  <c r="J9" i="39"/>
  <c r="H9" i="39"/>
  <c r="F9" i="39"/>
  <c r="S9" i="39" l="1"/>
  <c r="AA9" i="39"/>
  <c r="R49" i="39" s="1"/>
  <c r="W9" i="39"/>
  <c r="AC9" i="39"/>
  <c r="V49" i="39" s="1"/>
  <c r="I49" i="39" s="1"/>
  <c r="AA9" i="40"/>
  <c r="R44" i="40" s="1"/>
  <c r="S9" i="40"/>
  <c r="U9" i="39"/>
  <c r="AB9" i="39"/>
  <c r="T49" i="39" s="1"/>
  <c r="G49" i="39" s="1"/>
  <c r="AB9" i="40"/>
  <c r="T44" i="40" s="1"/>
  <c r="G44" i="40" s="1"/>
  <c r="U9" i="40"/>
  <c r="AC9" i="40"/>
  <c r="V44" i="40" s="1"/>
  <c r="I44" i="40" s="1"/>
  <c r="W9" i="40"/>
  <c r="I48" i="40" l="1"/>
  <c r="J48" i="40" s="1"/>
  <c r="G48" i="40"/>
  <c r="H48" i="40" s="1"/>
  <c r="G49" i="40"/>
  <c r="H49" i="40" s="1"/>
  <c r="E44" i="40"/>
  <c r="R45" i="40"/>
  <c r="G53" i="39"/>
  <c r="H53" i="39" s="1"/>
  <c r="G54" i="39"/>
  <c r="H54" i="39" s="1"/>
  <c r="I53" i="39"/>
  <c r="J53" i="39" s="1"/>
  <c r="E49" i="39"/>
  <c r="R50" i="39"/>
  <c r="E54" i="39" l="1"/>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C44" i="9" l="1"/>
  <c r="G14" i="66" s="1"/>
  <c r="B6" i="66" s="1"/>
  <c r="D45" i="9"/>
  <c r="E45" i="9"/>
  <c r="O40" i="9"/>
  <c r="F45" i="9"/>
  <c r="D6" i="66" l="1"/>
  <c r="C6" i="66"/>
  <c r="K31" i="9"/>
  <c r="K32" i="9" s="1"/>
  <c r="R7" i="54"/>
  <c r="B52" i="63" s="1"/>
  <c r="N69" i="9"/>
  <c r="O39" i="9"/>
  <c r="K29" i="9" s="1"/>
  <c r="D44" i="9"/>
  <c r="E44" i="9"/>
  <c r="F44" i="9"/>
  <c r="M86" i="9" l="1"/>
  <c r="N86" i="9" s="1"/>
  <c r="M84" i="9"/>
  <c r="N84" i="9" s="1"/>
  <c r="M88" i="9"/>
  <c r="N88" i="9" s="1"/>
  <c r="M87" i="9"/>
  <c r="N87" i="9" s="1"/>
  <c r="M85" i="9"/>
  <c r="N85" i="9" s="1"/>
  <c r="M83" i="9"/>
  <c r="N83" i="9" s="1"/>
  <c r="K30" i="9"/>
  <c r="R6" i="54"/>
  <c r="B50" i="63" s="1"/>
  <c r="N89" i="9" l="1"/>
  <c r="O89" i="9" l="1"/>
  <c r="N76" i="9"/>
  <c r="C46" i="9" l="1"/>
  <c r="K33" i="9" l="1"/>
  <c r="K34" i="9" s="1"/>
  <c r="O41" i="9"/>
  <c r="R8" i="54" s="1"/>
  <c r="B54" i="63" s="1"/>
  <c r="E46" i="9"/>
  <c r="F46" i="9"/>
  <c r="I14" i="66"/>
  <c r="B8" i="66" s="1"/>
  <c r="D46" i="9"/>
  <c r="C8" i="66" l="1"/>
  <c r="D8" i="66"/>
  <c r="C8" i="12" l="1"/>
  <c r="C10" i="12" s="1"/>
  <c r="D8" i="12"/>
  <c r="D10" i="12" s="1"/>
  <c r="J60" i="15" l="1"/>
  <c r="L46" i="15" s="1"/>
  <c r="J28" i="44"/>
  <c r="J31" i="44" s="1"/>
  <c r="Q58" i="44" s="1"/>
  <c r="Q64" i="44" s="1"/>
  <c r="J26" i="15"/>
  <c r="J29" i="15" s="1"/>
  <c r="J59" i="15"/>
  <c r="R9" i="1"/>
  <c r="F37" i="44"/>
  <c r="Q49" i="15" l="1"/>
  <c r="Q67" i="44"/>
  <c r="Q77" i="44" s="1"/>
  <c r="Q49" i="44"/>
  <c r="Q55" i="44" s="1"/>
  <c r="C36" i="44"/>
  <c r="F27" i="6"/>
  <c r="F31" i="6" s="1"/>
  <c r="E25" i="6"/>
  <c r="M21" i="15"/>
  <c r="M23" i="44"/>
  <c r="F35" i="15"/>
  <c r="C34" i="15" l="1"/>
  <c r="F62" i="15"/>
  <c r="C61" i="15" s="1"/>
  <c r="J20" i="15"/>
  <c r="J22" i="44"/>
  <c r="E27" i="6"/>
  <c r="D25" i="6"/>
  <c r="D27" i="6" l="1"/>
  <c r="D31" i="6" s="1"/>
  <c r="I6" i="6" s="1"/>
  <c r="I7" i="6" s="1"/>
  <c r="E31" i="6"/>
  <c r="K22" i="6"/>
  <c r="M22" i="6" s="1"/>
  <c r="I22" i="6" s="1"/>
  <c r="K23" i="6"/>
  <c r="M23" i="6" s="1"/>
  <c r="I23" i="6" s="1"/>
  <c r="K24" i="6"/>
  <c r="M24" i="6" s="1"/>
  <c r="I24" i="6" s="1"/>
  <c r="K21" i="6"/>
  <c r="K20" i="6"/>
  <c r="K19" i="6"/>
  <c r="K26" i="6"/>
  <c r="M26" i="6" s="1"/>
  <c r="I26" i="6" s="1"/>
  <c r="K25" i="6"/>
  <c r="M25" i="6" s="1"/>
  <c r="I25" i="6" s="1"/>
  <c r="S22" i="6" l="1"/>
  <c r="H22" i="6"/>
  <c r="R22" i="6" s="1"/>
  <c r="S26" i="6"/>
  <c r="H26" i="6"/>
  <c r="R26" i="6" s="1"/>
  <c r="M20" i="6"/>
  <c r="I20" i="6" s="1"/>
  <c r="S7" i="1"/>
  <c r="H24" i="6"/>
  <c r="R24" i="6" s="1"/>
  <c r="S24" i="6"/>
  <c r="H25" i="6"/>
  <c r="R25" i="6" s="1"/>
  <c r="S25" i="6"/>
  <c r="S6" i="1"/>
  <c r="K27" i="6"/>
  <c r="M19" i="6"/>
  <c r="M21" i="6"/>
  <c r="I21" i="6" s="1"/>
  <c r="S8" i="1"/>
  <c r="S23" i="6"/>
  <c r="H23" i="6"/>
  <c r="R23" i="6" s="1"/>
  <c r="I5" i="6"/>
  <c r="C17" i="68"/>
  <c r="C14" i="68"/>
  <c r="C18" i="68" l="1"/>
  <c r="C15" i="68"/>
  <c r="S21" i="6"/>
  <c r="H21" i="6"/>
  <c r="R21" i="6" s="1"/>
  <c r="R8" i="1" s="1"/>
  <c r="I19" i="6"/>
  <c r="M27" i="6"/>
  <c r="S16" i="1"/>
  <c r="T7" i="1" s="1"/>
  <c r="H20" i="6"/>
  <c r="R20" i="6" s="1"/>
  <c r="R7" i="1" s="1"/>
  <c r="S20" i="6"/>
  <c r="C19" i="68" l="1"/>
  <c r="C20" i="68" s="1"/>
  <c r="C23" i="68" s="1"/>
  <c r="T6" i="1"/>
  <c r="H19" i="6"/>
  <c r="I27" i="6"/>
  <c r="S19" i="6"/>
  <c r="S27" i="6" s="1"/>
  <c r="T9" i="1"/>
  <c r="T10" i="1"/>
  <c r="T12" i="1"/>
  <c r="T13" i="1"/>
  <c r="T11" i="1"/>
  <c r="T8" i="1"/>
  <c r="C14" i="15"/>
  <c r="C16" i="44"/>
  <c r="C17" i="44" l="1"/>
  <c r="C20" i="44"/>
  <c r="C18" i="15"/>
  <c r="C15" i="15"/>
  <c r="R19" i="6"/>
  <c r="H27" i="6"/>
  <c r="T16" i="1"/>
  <c r="C26" i="68"/>
  <c r="C29" i="68" s="1"/>
  <c r="C21" i="44" l="1"/>
  <c r="C22" i="44" s="1"/>
  <c r="C28" i="44" s="1"/>
  <c r="C19" i="15"/>
  <c r="C20" i="15" s="1"/>
  <c r="C36" i="68"/>
  <c r="J19" i="68"/>
  <c r="J14" i="68"/>
  <c r="C13" i="68"/>
  <c r="Q49" i="68"/>
  <c r="C57" i="68"/>
  <c r="C33" i="68"/>
  <c r="R6" i="1"/>
  <c r="R27" i="6"/>
  <c r="M21" i="68"/>
  <c r="F35" i="68"/>
  <c r="C25" i="44" l="1"/>
  <c r="C31" i="44" s="1"/>
  <c r="C26" i="15"/>
  <c r="C23" i="15"/>
  <c r="J20" i="68"/>
  <c r="J17" i="68" s="1"/>
  <c r="C34" i="68"/>
  <c r="C31" i="68" s="1"/>
  <c r="F63" i="68"/>
  <c r="C62" i="68" s="1"/>
  <c r="C61" i="68"/>
  <c r="C64" i="68"/>
  <c r="C37" i="68"/>
  <c r="Q70" i="68"/>
  <c r="C75" i="68"/>
  <c r="C56" i="68"/>
  <c r="C65" i="68" s="1"/>
  <c r="R16" i="1"/>
  <c r="J22" i="68"/>
  <c r="J13" i="68"/>
  <c r="J23" i="68" s="1"/>
  <c r="C59" i="68" l="1"/>
  <c r="C58" i="68" s="1"/>
  <c r="C67" i="68" s="1"/>
  <c r="C68" i="68" s="1"/>
  <c r="C71" i="68" s="1"/>
  <c r="Q51" i="44"/>
  <c r="C38" i="44"/>
  <c r="J16" i="44"/>
  <c r="J15" i="44" s="1"/>
  <c r="J25" i="44" s="1"/>
  <c r="C15" i="44"/>
  <c r="C43" i="44" s="1"/>
  <c r="J21" i="44"/>
  <c r="J19" i="44" s="1"/>
  <c r="C35" i="44"/>
  <c r="C33" i="44" s="1"/>
  <c r="C29" i="15"/>
  <c r="C30" i="68"/>
  <c r="C39" i="68" s="1"/>
  <c r="C80" i="68" s="1"/>
  <c r="C79" i="68" s="1"/>
  <c r="J16" i="68"/>
  <c r="J25" i="68" s="1"/>
  <c r="L51" i="68"/>
  <c r="J24" i="44" l="1"/>
  <c r="J18" i="44" s="1"/>
  <c r="J27" i="44" s="1"/>
  <c r="Q72" i="44"/>
  <c r="C39" i="44"/>
  <c r="C32" i="44" s="1"/>
  <c r="C42" i="44" s="1"/>
  <c r="C44" i="44" s="1"/>
  <c r="C45" i="44" s="1"/>
  <c r="B2" i="44" s="1"/>
  <c r="Q50" i="15"/>
  <c r="J19" i="15"/>
  <c r="J17" i="15" s="1"/>
  <c r="C33" i="15"/>
  <c r="C31" i="15" s="1"/>
  <c r="C56" i="15"/>
  <c r="J14" i="15"/>
  <c r="C36" i="15"/>
  <c r="C13" i="15"/>
  <c r="Q67" i="68"/>
  <c r="L57" i="68"/>
  <c r="L60" i="68" s="1"/>
  <c r="C40" i="68"/>
  <c r="Q69" i="68"/>
  <c r="Q68" i="68" s="1"/>
  <c r="Q71" i="44" l="1"/>
  <c r="Q70" i="44" s="1"/>
  <c r="Q71" i="15"/>
  <c r="C37" i="15"/>
  <c r="C30" i="15" s="1"/>
  <c r="C39" i="15" s="1"/>
  <c r="J35" i="15"/>
  <c r="C55" i="15"/>
  <c r="C64" i="15" s="1"/>
  <c r="J22" i="15"/>
  <c r="J13" i="15"/>
  <c r="J23" i="15" s="1"/>
  <c r="C60" i="15"/>
  <c r="C58" i="15" s="1"/>
  <c r="C63" i="15"/>
  <c r="B3" i="44"/>
  <c r="B4" i="44"/>
  <c r="B5" i="44"/>
  <c r="Q56" i="68"/>
  <c r="C43" i="68"/>
  <c r="Q65" i="68"/>
  <c r="Q47" i="68"/>
  <c r="Q53" i="68" s="1"/>
  <c r="C83" i="68"/>
  <c r="C82" i="68" s="1"/>
  <c r="C45" i="68"/>
  <c r="C46" i="68" s="1"/>
  <c r="Q66" i="68"/>
  <c r="Q57" i="68"/>
  <c r="L46" i="68"/>
  <c r="D2" i="68" s="1"/>
  <c r="L51" i="15"/>
  <c r="J16" i="15" l="1"/>
  <c r="J25" i="15" s="1"/>
  <c r="L57" i="15"/>
  <c r="L60" i="15" s="1"/>
  <c r="Q68" i="15"/>
  <c r="C40" i="15"/>
  <c r="Q70" i="15"/>
  <c r="Q69" i="15" s="1"/>
  <c r="J39" i="15"/>
  <c r="J40" i="15" s="1"/>
  <c r="C57" i="15"/>
  <c r="C66" i="15" s="1"/>
  <c r="C67" i="15" s="1"/>
  <c r="B2" i="68"/>
  <c r="B3" i="68"/>
  <c r="Q75" i="68"/>
  <c r="Q62" i="68"/>
  <c r="C46" i="15" l="1"/>
  <c r="C70" i="15"/>
  <c r="C43" i="15"/>
  <c r="B2" i="15"/>
  <c r="B3" i="15" s="1"/>
  <c r="Q57" i="15"/>
  <c r="Q66" i="15"/>
  <c r="Q48" i="15"/>
  <c r="Q54" i="15" s="1"/>
  <c r="J42" i="15"/>
  <c r="J43" i="15" s="1"/>
  <c r="Q67" i="15"/>
  <c r="Q58" i="15"/>
  <c r="Q76" i="15" l="1"/>
  <c r="Q63" i="15"/>
  <c r="E8" i="12" l="1"/>
  <c r="E10" i="12" s="1"/>
  <c r="C6" i="12" s="1"/>
  <c r="C29" i="12" l="1"/>
  <c r="C24" i="12"/>
  <c r="C28" i="12" l="1"/>
  <c r="C26" i="12" s="1"/>
  <c r="C31" i="12" s="1"/>
  <c r="C30" i="12" s="1"/>
  <c r="C36" i="12" s="1"/>
  <c r="B2" i="12" s="1"/>
  <c r="C35" i="12"/>
  <c r="C33" i="12" s="1"/>
  <c r="D19" i="9"/>
  <c r="L44" i="9" l="1"/>
  <c r="G19" i="9"/>
  <c r="D22" i="9"/>
  <c r="B4" i="12"/>
  <c r="B3" i="12"/>
  <c r="B5" i="12"/>
  <c r="D21" i="9"/>
  <c r="D20" i="9"/>
  <c r="G20" i="9" l="1"/>
  <c r="G21" i="9"/>
  <c r="N43" i="9"/>
  <c r="G22" i="9"/>
  <c r="C32" i="9"/>
  <c r="O38" i="9" l="1"/>
  <c r="C34" i="9"/>
  <c r="C33" i="9"/>
  <c r="C35" i="9"/>
  <c r="F42" i="9" s="1"/>
  <c r="C42" i="9"/>
  <c r="O43" i="9"/>
  <c r="D15" i="66"/>
  <c r="D14" i="66" l="1"/>
  <c r="D63" i="9"/>
  <c r="R5" i="54"/>
  <c r="B48" i="63" s="1"/>
  <c r="N68" i="9"/>
  <c r="N38" i="9"/>
  <c r="K28" i="9" s="1"/>
  <c r="D42" i="9"/>
  <c r="Q5" i="54" s="1"/>
  <c r="B47" i="63" s="1"/>
  <c r="K25" i="9"/>
  <c r="K26" i="9"/>
  <c r="E15" i="66"/>
  <c r="F15" i="66"/>
  <c r="M38" i="9"/>
  <c r="K27" i="9" s="1"/>
  <c r="E42" i="9"/>
  <c r="P5" i="54" s="1"/>
  <c r="B46" i="63" s="1"/>
  <c r="B5" i="66" l="1"/>
  <c r="E14" i="66"/>
  <c r="F14" i="66"/>
  <c r="D70" i="9"/>
  <c r="C90" i="9"/>
  <c r="C97" i="9" s="1"/>
  <c r="C82" i="9"/>
  <c r="C81" i="9" s="1"/>
  <c r="C85" i="9" s="1"/>
  <c r="C86" i="9" s="1"/>
  <c r="D72" i="9" s="1"/>
  <c r="D71" i="9"/>
  <c r="D66" i="9" s="1"/>
  <c r="N72" i="9" s="1"/>
  <c r="C96" i="9"/>
  <c r="C91" i="9" s="1"/>
  <c r="D77" i="9"/>
  <c r="N75" i="9" s="1"/>
  <c r="C111" i="9"/>
  <c r="C104" i="9" s="1"/>
  <c r="C103" i="9"/>
  <c r="C113" i="9" s="1"/>
  <c r="C114" i="9" l="1"/>
  <c r="E114" i="9" s="1"/>
  <c r="E115" i="9" s="1"/>
  <c r="C98" i="9"/>
  <c r="E98" i="9" s="1"/>
  <c r="E99" i="9" s="1"/>
  <c r="C5" i="66"/>
  <c r="D5" i="66"/>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<sst xmlns="http://schemas.openxmlformats.org/spreadsheetml/2006/main" count="7366" uniqueCount="3292">
  <si>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</si>
  <si>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</si>
  <si>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</si>
  <si>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</si>
  <si>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</si>
  <si>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</si>
  <si>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</si>
  <si>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</si>
  <si>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</si>
  <si>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</si>
  <si>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</si>
  <si>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</si>
  <si>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</si>
  <si>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</si>
  <si>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</si>
  <si>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</si>
  <si>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</si>
  <si>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</si>
  <si>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</si>
  <si>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</si>
  <si>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</si>
  <si>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</si>
  <si>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</si>
  <si>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</si>
  <si>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</si>
  <si>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</si>
  <si>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</si>
  <si>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</si>
  <si>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</si>
  <si>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</si>
  <si>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</si>
  <si>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</si>
  <si>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</si>
  <si>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</si>
  <si>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</si>
  <si>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</si>
  <si>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</si>
  <si>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</si>
  <si>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</si>
  <si>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</si>
  <si>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</si>
  <si>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</si>
  <si>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</si>
  <si>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</si>
  <si>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</si>
  <si>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</si>
  <si>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</si>
  <si>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</si>
  <si>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</si>
  <si>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</si>
  <si>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</si>
  <si>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</si>
  <si>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</si>
  <si>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</si>
  <si>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</si>
  <si>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</si>
  <si>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</si>
  <si>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</si>
  <si>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</si>
  <si>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</si>
  <si>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</si>
  <si>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</si>
  <si>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</si>
  <si>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</si>
  <si>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</si>
  <si>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</si>
  <si>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</si>
  <si>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</si>
  <si>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</si>
  <si>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</si>
  <si>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</si>
  <si>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</si>
  <si>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</si>
  <si>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</si>
  <si>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</si>
  <si>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</si>
  <si>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</si>
  <si>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</si>
  <si>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</si>
  <si>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</si>
  <si>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</si>
  <si>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</si>
  <si>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</si>
  <si>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</si>
  <si>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</si>
  <si>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</si>
  <si>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</si>
  <si>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</si>
  <si>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</si>
  <si>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</si>
  <si>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</si>
  <si>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</si>
  <si>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</si>
  <si>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</si>
  <si>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</si>
  <si>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</si>
  <si>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</si>
  <si>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</si>
  <si>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</si>
  <si>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</si>
  <si>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</si>
  <si>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</si>
  <si>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</si>
  <si>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</si>
  <si>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</si>
  <si>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</si>
  <si>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</si>
  <si>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</si>
  <si>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</si>
  <si>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</si>
  <si>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</si>
  <si>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</si>
  <si>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</si>
  <si>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</si>
  <si>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</si>
  <si>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</si>
  <si>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</si>
  <si>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</si>
  <si>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</si>
  <si>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</si>
  <si>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</si>
  <si>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</si>
  <si>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</si>
  <si>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</si>
  <si>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</si>
  <si>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</si>
  <si>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</si>
  <si>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</si>
  <si>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</si>
  <si>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</si>
  <si>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</si>
  <si>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</si>
  <si>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</si>
  <si>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</si>
  <si>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</si>
  <si>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</si>
  <si>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</si>
  <si>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</si>
  <si>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</si>
  <si>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</si>
  <si>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</si>
  <si>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</si>
  <si>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</si>
  <si>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</si>
  <si>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</si>
  <si>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</si>
  <si>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</si>
  <si>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</si>
  <si>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</si>
  <si>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</si>
  <si>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</si>
  <si>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</si>
  <si>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</si>
  <si>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</si>
  <si>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</si>
  <si>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</si>
  <si>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</si>
  <si>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</si>
  <si>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</si>
  <si>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</si>
  <si>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</si>
  <si>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</si>
  <si>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</si>
  <si>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</si>
  <si>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</si>
  <si>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</si>
  <si>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</si>
  <si>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</si>
  <si>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</si>
  <si>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</si>
  <si>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</si>
  <si>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</si>
  <si>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</si>
  <si>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</si>
  <si>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</si>
  <si>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</si>
  <si>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</si>
  <si>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</si>
  <si>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</si>
  <si>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</si>
  <si>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</si>
  <si>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</si>
  <si>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</si>
  <si>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</si>
  <si>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</si>
  <si>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</si>
  <si>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</si>
  <si>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</si>
  <si>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</si>
  <si>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</si>
  <si>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</si>
  <si>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</si>
  <si>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</si>
  <si>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</si>
  <si>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</si>
  <si>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</si>
  <si>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</si>
  <si>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</si>
  <si>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</si>
  <si>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</si>
  <si>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</si>
  <si>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</si>
  <si>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</si>
  <si>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</si>
  <si>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</si>
  <si>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</si>
  <si>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</si>
  <si>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</si>
  <si>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</si>
  <si>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</si>
  <si>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</si>
  <si>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</si>
  <si>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</si>
  <si>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</si>
  <si>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</si>
  <si>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</si>
  <si>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</si>
  <si>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</si>
  <si>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</si>
  <si>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</si>
  <si>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</si>
  <si>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</si>
  <si>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</si>
  <si>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</si>
  <si>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</si>
  <si>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</si>
  <si>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</si>
  <si>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</si>
  <si>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</si>
  <si>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</si>
  <si>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</si>
  <si>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</si>
  <si>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</si>
  <si>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</si>
  <si>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</si>
  <si>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</si>
  <si>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</si>
  <si>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</si>
  <si>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</si>
  <si>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</si>
  <si>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</si>
  <si>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</si>
  <si>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</si>
  <si>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</si>
  <si>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</si>
  <si>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</si>
  <si>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</si>
  <si>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</si>
  <si>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</si>
  <si>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</si>
  <si>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</si>
  <si>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</si>
  <si>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</si>
  <si>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</si>
  <si>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</si>
  <si>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</si>
  <si>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</si>
  <si>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</si>
  <si>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</si>
  <si>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</si>
  <si>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</si>
  <si>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</si>
  <si>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</si>
  <si>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</si>
  <si>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</si>
  <si>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</si>
  <si>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</si>
  <si>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</si>
  <si>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</si>
  <si>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</si>
  <si>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</si>
  <si>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</si>
  <si>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</si>
  <si>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</si>
  <si>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</si>
  <si>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</si>
  <si>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</si>
  <si>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</si>
  <si>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</si>
  <si>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</si>
  <si>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</si>
  <si>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</si>
  <si>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</si>
  <si>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</si>
  <si>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</si>
  <si>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</si>
  <si>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</si>
  <si>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</si>
  <si>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</si>
  <si>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</si>
  <si>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</si>
  <si>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</si>
  <si>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</si>
  <si>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</si>
  <si>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</si>
  <si>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</si>
  <si>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</si>
  <si>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</si>
  <si>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</si>
  <si>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</si>
  <si>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</si>
  <si>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</si>
  <si>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</si>
  <si>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</si>
  <si>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</si>
  <si>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</si>
  <si>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</si>
  <si>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</si>
  <si>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</si>
  <si>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</si>
  <si>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</si>
  <si>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</si>
  <si>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</si>
  <si>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</si>
  <si>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</si>
  <si>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</si>
  <si>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</si>
  <si>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</si>
  <si>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</si>
  <si>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</si>
  <si>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</si>
  <si>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</si>
  <si>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</si>
  <si>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</si>
  <si>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</si>
  <si>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</si>
  <si>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</si>
  <si>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</si>
  <si>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</si>
  <si>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</si>
  <si>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</si>
  <si>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</si>
  <si>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</si>
  <si>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</si>
  <si>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</si>
  <si>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</si>
  <si>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</si>
  <si>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</si>
  <si>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</si>
  <si>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</si>
  <si>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</si>
  <si>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</si>
  <si>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</si>
  <si>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</si>
  <si>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</si>
  <si>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</si>
  <si>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</si>
  <si>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</si>
  <si>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</si>
  <si>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</si>
  <si>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</si>
  <si>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</si>
  <si>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</si>
  <si>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</si>
  <si>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</si>
  <si>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</si>
  <si>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</si>
  <si>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</si>
  <si>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</si>
  <si>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</si>
  <si>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</si>
  <si>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</si>
  <si>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</si>
  <si>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</si>
  <si>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</si>
  <si>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</si>
  <si>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</si>
  <si>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</si>
  <si>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</si>
  <si>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</si>
  <si>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</si>
  <si>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</si>
  <si>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</si>
  <si>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</si>
  <si>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</si>
  <si>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</si>
  <si>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</si>
  <si>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</si>
  <si>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</si>
  <si>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</si>
  <si>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</si>
  <si>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</si>
  <si>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</si>
  <si>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</si>
  <si>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</si>
  <si>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</si>
  <si>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</si>
  <si>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</si>
  <si>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</si>
  <si>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</si>
  <si>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</si>
  <si>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</si>
  <si>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</si>
  <si>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</si>
  <si>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</si>
  <si>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</si>
  <si>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</si>
  <si>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</si>
  <si>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</si>
  <si>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</si>
  <si>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</si>
  <si>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</si>
  <si>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</si>
  <si>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</si>
  <si>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</si>
  <si>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</si>
  <si>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</si>
  <si>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</si>
  <si>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</si>
  <si>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</si>
  <si>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</si>
  <si>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</si>
  <si>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</si>
  <si>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</si>
  <si>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</si>
  <si>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</si>
  <si>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</si>
  <si>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</si>
  <si>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</si>
  <si>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</si>
  <si>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</si>
  <si>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</si>
  <si>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</si>
  <si>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</si>
  <si>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</si>
  <si>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</si>
  <si>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</si>
  <si>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</si>
  <si>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</si>
  <si>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</si>
  <si>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</si>
  <si>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</si>
  <si>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</si>
  <si>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</si>
  <si>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</si>
  <si>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</si>
  <si>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</si>
  <si>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</si>
  <si>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</si>
  <si>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</si>
  <si>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</si>
  <si>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</si>
  <si>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</si>
  <si>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</si>
  <si>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</si>
  <si>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</si>
  <si>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</si>
  <si>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</si>
  <si>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</si>
  <si>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</si>
  <si>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</si>
  <si>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</si>
  <si>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</si>
  <si>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</si>
  <si>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</si>
  <si>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</si>
  <si>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</si>
  <si>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</si>
  <si>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</si>
  <si>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</si>
  <si>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</si>
  <si>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</si>
  <si>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</si>
  <si>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</si>
  <si>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</si>
  <si>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</si>
  <si>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</si>
  <si>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</si>
  <si>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</si>
  <si>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</si>
  <si>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</si>
  <si>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</si>
  <si>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</si>
  <si>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</si>
  <si>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</si>
  <si>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</si>
  <si>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</si>
  <si>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</si>
  <si>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</si>
  <si>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</si>
  <si>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</si>
  <si>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</si>
  <si>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</si>
  <si>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</si>
  <si>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</si>
  <si>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</si>
  <si>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</si>
  <si>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</si>
  <si>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</si>
  <si>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</si>
  <si>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</si>
  <si>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</si>
  <si>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</si>
  <si>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</si>
  <si>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</si>
  <si>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</si>
  <si>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</si>
  <si>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</si>
  <si>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</si>
  <si>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</si>
  <si>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</si>
  <si>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</si>
  <si>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</si>
  <si>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</si>
  <si>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</si>
  <si>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</si>
  <si>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</si>
  <si>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</si>
  <si>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</si>
  <si>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</si>
  <si>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</si>
  <si>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</si>
  <si>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</si>
  <si>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</si>
  <si>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</si>
  <si>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</si>
  <si>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</si>
  <si>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</si>
  <si>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</si>
  <si>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</si>
  <si>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</si>
  <si>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</si>
  <si>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</si>
  <si>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</si>
  <si>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</si>
  <si>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</si>
  <si>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</si>
  <si>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</si>
  <si>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</si>
  <si>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</si>
  <si>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</si>
  <si>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</si>
  <si>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</si>
  <si>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</si>
  <si>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</si>
  <si>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</si>
  <si>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</si>
  <si>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</si>
  <si>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</si>
  <si>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</si>
  <si>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</si>
  <si>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</si>
  <si>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</si>
  <si>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</si>
  <si>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</si>
  <si>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</si>
  <si>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</si>
  <si>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</si>
  <si>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</si>
  <si>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</si>
  <si>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</si>
  <si>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</si>
  <si>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</si>
  <si>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</si>
  <si>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</si>
  <si>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</si>
  <si>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</si>
  <si>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</si>
  <si>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</si>
  <si>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</si>
  <si>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</si>
  <si>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</si>
  <si>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</si>
  <si>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</si>
  <si>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</si>
  <si>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</si>
  <si>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</si>
  <si>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</si>
  <si>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</si>
  <si>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</si>
  <si>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</si>
  <si>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</si>
  <si>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</si>
  <si>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</si>
  <si>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</si>
  <si>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</si>
  <si>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</si>
  <si>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</si>
  <si>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</si>
  <si>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</si>
  <si>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</si>
  <si>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</si>
  <si>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</si>
  <si>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</si>
  <si>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</si>
  <si>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</si>
  <si>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</si>
  <si>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</si>
  <si>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</si>
  <si>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</si>
  <si>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</si>
  <si>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</si>
  <si>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</si>
  <si>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</si>
  <si>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</si>
  <si>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</si>
  <si>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</si>
  <si>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</si>
  <si>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</si>
  <si>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</si>
  <si>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</si>
  <si>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</si>
  <si>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</si>
  <si>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</si>
  <si>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</si>
  <si>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</si>
  <si>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</si>
  <si>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</si>
  <si>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</si>
  <si>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</si>
  <si>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</si>
  <si>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</si>
  <si>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</si>
  <si>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</si>
  <si>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</si>
  <si>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</si>
  <si>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</si>
  <si>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</si>
  <si>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</si>
  <si>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</si>
  <si>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</si>
  <si>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</si>
  <si>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</si>
  <si>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</si>
  <si>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</si>
  <si>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</si>
  <si>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</si>
  <si>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</si>
  <si>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</si>
  <si>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</si>
  <si>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</si>
  <si>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</si>
  <si>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</si>
  <si>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</si>
  <si>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</si>
  <si>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</si>
  <si>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</si>
  <si>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</si>
  <si>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</si>
  <si>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</si>
  <si>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</si>
  <si>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</si>
  <si>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</si>
  <si>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</si>
  <si>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</si>
  <si>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</si>
  <si>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</si>
  <si>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</si>
  <si>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</si>
  <si>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</si>
  <si>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</si>
  <si>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</si>
  <si>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</si>
  <si>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</si>
  <si>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</si>
  <si>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</si>
  <si>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</si>
  <si>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</si>
  <si>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</si>
  <si>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</si>
  <si>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</si>
  <si>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</si>
  <si>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</si>
  <si>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</si>
  <si>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</si>
  <si>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</si>
  <si>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</si>
  <si>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</si>
  <si>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</si>
  <si>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</si>
  <si>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</si>
  <si>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</si>
  <si>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</si>
  <si>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</si>
  <si>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</si>
  <si>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</si>
  <si>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</si>
  <si>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</si>
  <si>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</si>
  <si>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</si>
  <si>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</si>
  <si>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</si>
  <si>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</si>
  <si>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</si>
  <si>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</si>
  <si>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</si>
  <si>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</si>
  <si>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</si>
  <si>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</si>
  <si>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</si>
  <si>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</si>
  <si>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</si>
  <si>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</si>
  <si>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</si>
  <si>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</si>
  <si>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</si>
  <si>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</si>
  <si>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</si>
  <si>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</si>
  <si>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</si>
  <si>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</si>
  <si>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</si>
  <si>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</si>
  <si>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</si>
  <si>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</si>
  <si>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</si>
  <si>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</si>
  <si>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</si>
  <si>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</si>
  <si>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</si>
  <si>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</si>
  <si>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</si>
  <si>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</si>
  <si>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</si>
  <si>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</si>
  <si>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</si>
  <si>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</si>
  <si>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</si>
  <si>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</si>
  <si>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</si>
  <si>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</si>
  <si>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</si>
  <si>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</si>
  <si>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</si>
  <si>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</si>
  <si>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</si>
  <si>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</si>
  <si>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</si>
  <si>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</si>
  <si>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</si>
  <si>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</si>
  <si>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</si>
  <si>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</si>
  <si>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</si>
  <si>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</si>
  <si>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</si>
  <si>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</si>
  <si>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</si>
  <si>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</si>
  <si>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</si>
  <si>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</si>
  <si>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</si>
  <si>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</si>
  <si>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</si>
  <si>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</si>
  <si>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</si>
  <si>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</si>
  <si>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</si>
  <si>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</si>
  <si>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</si>
  <si>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</si>
  <si>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</si>
  <si>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</si>
  <si>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</si>
  <si>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</si>
  <si>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</si>
  <si>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</si>
  <si>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</si>
  <si>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</si>
  <si>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</si>
  <si>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</si>
  <si>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</si>
  <si>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</si>
  <si>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</si>
  <si>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</si>
  <si>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</si>
  <si>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</si>
  <si>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</si>
  <si>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</si>
  <si>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</si>
  <si>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</si>
  <si>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</si>
  <si>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</si>
  <si>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</si>
  <si>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</si>
  <si>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</si>
  <si>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</si>
  <si>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</si>
  <si>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</si>
  <si>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</si>
  <si>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</si>
  <si>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</si>
  <si>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</si>
  <si>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</si>
  <si>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</si>
  <si>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</si>
  <si>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</si>
  <si>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</si>
  <si>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</si>
  <si>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</si>
  <si>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</si>
  <si>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</si>
  <si>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</si>
  <si>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</si>
  <si>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</si>
  <si>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</si>
  <si>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</si>
  <si>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</si>
  <si>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</si>
  <si>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</si>
  <si>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</si>
  <si>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</si>
  <si>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</si>
  <si>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</si>
  <si>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</si>
  <si>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</si>
  <si>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</si>
  <si>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</si>
  <si>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</si>
  <si>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</si>
  <si>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</si>
  <si>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</si>
  <si>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</si>
  <si>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</si>
  <si>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</si>
  <si>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</si>
  <si>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</si>
  <si>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</si>
  <si>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</si>
  <si>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</si>
  <si>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</si>
  <si>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</si>
  <si>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</si>
  <si>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</si>
  <si>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</si>
  <si>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</si>
  <si>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</si>
  <si>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</si>
  <si>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</si>
  <si>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</si>
  <si>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</si>
  <si>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</si>
  <si>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</si>
  <si>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</si>
  <si>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</si>
  <si>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</si>
  <si>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</si>
  <si>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</si>
  <si>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</si>
  <si>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</si>
  <si>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</si>
  <si>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</si>
  <si>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</si>
  <si>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</si>
  <si>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</si>
  <si>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</si>
  <si>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</si>
  <si>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</si>
  <si>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</si>
  <si>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</si>
  <si>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</si>
  <si>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</si>
  <si>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</si>
  <si>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</si>
  <si>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</si>
  <si>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</si>
  <si>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</si>
  <si>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</si>
  <si>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</si>
  <si>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</si>
  <si>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</si>
  <si>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</si>
  <si>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</si>
  <si>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</si>
  <si>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</si>
  <si>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</si>
  <si>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</si>
  <si>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</si>
  <si>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</si>
  <si>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</si>
  <si>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</si>
  <si>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</si>
  <si>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</si>
  <si>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</si>
  <si>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</si>
  <si>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</si>
  <si>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</si>
  <si>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</si>
  <si>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</si>
  <si>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</si>
  <si>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</si>
  <si>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</si>
  <si>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</si>
  <si>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</si>
  <si>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</si>
  <si>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</si>
  <si>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</si>
  <si>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</si>
  <si>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</si>
  <si>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</si>
  <si>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</si>
  <si>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</si>
  <si>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</si>
  <si>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</si>
  <si>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</si>
  <si>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</si>
  <si>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</si>
  <si>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</si>
  <si>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</si>
  <si>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</si>
  <si>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</si>
  <si>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</si>
  <si>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</si>
  <si>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</si>
  <si>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</si>
  <si>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</si>
  <si>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</si>
  <si>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</si>
  <si>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</si>
  <si>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</si>
  <si>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</si>
  <si>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</si>
  <si>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</si>
  <si>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</si>
  <si>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</si>
  <si>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</si>
  <si>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</si>
  <si>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</si>
  <si>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</si>
  <si>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</si>
  <si>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</si>
  <si>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</si>
  <si>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</si>
  <si>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</si>
  <si>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</si>
  <si>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</si>
  <si>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</si>
  <si>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</si>
  <si>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</si>
  <si>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</si>
  <si>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</si>
  <si>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</si>
  <si>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</si>
  <si>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</si>
  <si>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</si>
  <si>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</si>
  <si>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</si>
  <si>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</si>
  <si>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</si>
  <si>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</si>
  <si>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</si>
  <si>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</si>
  <si>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</si>
  <si>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</si>
  <si>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</si>
  <si>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</si>
  <si>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</si>
  <si>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</si>
  <si>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</si>
  <si>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</si>
  <si>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</si>
  <si>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</si>
  <si>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</si>
  <si>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</si>
  <si>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</si>
  <si>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</si>
  <si>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</si>
  <si>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</si>
  <si>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</si>
  <si>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</si>
  <si>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</si>
  <si>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</si>
  <si>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</si>
  <si>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</si>
  <si>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</si>
  <si>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</si>
  <si>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</si>
  <si>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</si>
  <si>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</si>
  <si>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</si>
  <si>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</si>
  <si>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</si>
  <si>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</si>
  <si>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</si>
  <si>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</si>
  <si>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</si>
  <si>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</si>
  <si>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</si>
  <si>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</si>
  <si>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</si>
  <si>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</si>
  <si>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</si>
  <si>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</si>
  <si>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</si>
  <si>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</si>
  <si>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</si>
  <si>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</si>
  <si>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</si>
  <si>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</si>
  <si>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</si>
  <si>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</si>
  <si>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</si>
  <si>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</si>
  <si>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</si>
  <si>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</si>
  <si>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</si>
  <si>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</si>
  <si>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</si>
  <si>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</si>
  <si>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</si>
  <si>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</si>
  <si>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</si>
  <si>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</si>
  <si>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</si>
  <si>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</si>
  <si>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</si>
  <si>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</si>
  <si>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</si>
  <si>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</si>
  <si>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</si>
  <si>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</si>
  <si>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</si>
  <si>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</si>
  <si>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</si>
  <si>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</si>
  <si>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</si>
  <si>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</si>
  <si>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</si>
  <si>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</si>
  <si>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</si>
  <si>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</si>
  <si>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</si>
  <si>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</si>
  <si>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</si>
  <si>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</si>
  <si>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</si>
  <si>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</si>
  <si>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</si>
  <si>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</si>
  <si>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</si>
  <si>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</si>
  <si>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</si>
  <si>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</si>
  <si>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</si>
  <si>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</si>
  <si>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</si>
  <si>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</si>
  <si>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</si>
  <si>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</si>
  <si>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</si>
  <si>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</si>
  <si>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</si>
  <si>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</si>
  <si>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</si>
  <si>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</si>
  <si>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</si>
  <si>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</si>
  <si>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</si>
  <si>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</si>
  <si>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</si>
  <si>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</si>
  <si>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</si>
  <si>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</si>
  <si>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</si>
  <si>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</si>
  <si>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</si>
  <si>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</si>
  <si>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</si>
  <si>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</si>
  <si>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</si>
  <si>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</si>
  <si>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</si>
  <si>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</si>
  <si>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</si>
  <si>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</si>
  <si>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</si>
  <si>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</si>
  <si>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</si>
  <si>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</si>
  <si>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</si>
  <si>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</si>
  <si>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</si>
  <si>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</si>
  <si>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</si>
  <si>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</si>
  <si>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</si>
  <si>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</si>
  <si>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</si>
  <si>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</si>
  <si>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</si>
  <si>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</si>
  <si>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</si>
  <si>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</si>
  <si>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</si>
  <si>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</si>
  <si>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</si>
  <si>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</si>
  <si>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</si>
  <si>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</si>
  <si>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</si>
  <si>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</si>
  <si>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</si>
  <si>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</si>
  <si>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</si>
  <si>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</si>
  <si>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</si>
  <si>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</si>
  <si>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</si>
  <si>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</si>
  <si>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</si>
  <si>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</si>
  <si>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</si>
  <si>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</si>
  <si>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</si>
  <si>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</si>
  <si>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</si>
  <si>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</si>
  <si>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</si>
  <si>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</si>
  <si>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</si>
  <si>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</si>
  <si>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</si>
  <si>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</si>
  <si>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</si>
  <si>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</si>
  <si>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</si>
  <si>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</si>
  <si>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</si>
  <si>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</si>
  <si>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</si>
  <si>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</si>
  <si>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</si>
  <si>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</si>
  <si>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</si>
  <si>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</si>
  <si>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</si>
  <si>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</si>
  <si>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</si>
  <si>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</si>
  <si>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</si>
  <si>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</si>
  <si>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</si>
  <si>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</si>
  <si>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</si>
  <si>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</si>
  <si>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</si>
  <si>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</si>
  <si>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</si>
  <si>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</si>
  <si>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</si>
  <si>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</si>
  <si>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</si>
  <si>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</si>
  <si>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</si>
  <si>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</si>
  <si>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</si>
  <si>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</si>
  <si>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</si>
  <si>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</si>
  <si>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</si>
  <si>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</si>
  <si>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</si>
  <si>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</si>
  <si>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</si>
  <si>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</si>
  <si>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</si>
  <si>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</si>
  <si>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</si>
  <si>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</si>
  <si>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</si>
  <si>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</si>
  <si>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</si>
  <si>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</si>
  <si>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</si>
  <si>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</si>
  <si>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</si>
  <si>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</si>
  <si>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</si>
  <si>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</si>
  <si>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</si>
  <si>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</si>
  <si>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</si>
  <si>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</si>
  <si>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</si>
  <si>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</si>
  <si>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</si>
  <si>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</si>
  <si>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</si>
  <si>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</si>
  <si>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</si>
  <si>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</si>
  <si>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</si>
  <si>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</si>
  <si>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</si>
  <si>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</si>
  <si>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</si>
  <si>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</si>
  <si>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</si>
  <si>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</si>
  <si>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</si>
  <si>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</si>
  <si>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</si>
  <si>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</si>
  <si>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</si>
  <si>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</si>
  <si>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</si>
  <si>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</si>
  <si>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</si>
  <si>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</si>
  <si>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</si>
  <si>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</si>
  <si>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</si>
  <si>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</si>
  <si>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</si>
  <si>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</si>
  <si>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</si>
  <si>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</si>
  <si>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</si>
  <si>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</si>
  <si>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</si>
  <si>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</si>
  <si>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</si>
  <si>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</si>
  <si>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</si>
  <si>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</si>
  <si>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</si>
  <si>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</si>
  <si>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</si>
  <si>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</si>
  <si>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</si>
  <si>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</si>
  <si>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</si>
  <si>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</si>
  <si>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</si>
  <si>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</si>
  <si>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</si>
  <si>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</si>
  <si>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</si>
  <si>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</si>
  <si>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</si>
  <si>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</si>
  <si>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</si>
  <si>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</si>
  <si>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</si>
  <si>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</si>
  <si>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</si>
  <si>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</si>
  <si>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</si>
  <si>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</si>
  <si>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</si>
  <si>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</si>
  <si>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</si>
  <si>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</si>
  <si>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</si>
  <si>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</si>
  <si>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</si>
  <si>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</si>
  <si>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</si>
  <si>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</si>
  <si>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</si>
  <si>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</si>
  <si>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</si>
  <si>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</si>
  <si>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</si>
  <si>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</si>
  <si>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</si>
  <si>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</si>
  <si>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</si>
  <si>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</si>
  <si>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</si>
  <si>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</si>
  <si>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</si>
  <si>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</si>
  <si>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</si>
  <si>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</si>
  <si>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</si>
  <si>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</si>
  <si>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</si>
  <si>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</si>
  <si>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</si>
  <si>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</si>
  <si>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</si>
  <si>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</si>
  <si>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</si>
  <si>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</si>
  <si>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</si>
  <si>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</si>
  <si>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</si>
  <si>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</si>
  <si>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</si>
  <si>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</si>
  <si>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</si>
  <si>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</si>
  <si>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</si>
  <si>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</si>
  <si>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</si>
  <si>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</si>
  <si>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</si>
  <si>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</si>
  <si>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</si>
  <si>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</si>
  <si>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</si>
  <si>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</si>
  <si>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</si>
  <si>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</si>
  <si>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</si>
  <si>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</si>
  <si>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</si>
  <si>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</si>
  <si>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</si>
  <si>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</si>
  <si>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</si>
  <si>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</si>
  <si>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</si>
  <si>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</si>
  <si>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</si>
  <si>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</si>
  <si>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</si>
  <si>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</si>
  <si>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</si>
  <si>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</si>
  <si>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</si>
  <si>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</si>
  <si>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</si>
  <si>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</si>
  <si>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</si>
  <si>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</si>
  <si>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</si>
  <si>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</si>
  <si>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</si>
  <si>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</si>
  <si>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</si>
  <si>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</si>
  <si>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</si>
  <si>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</si>
  <si>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</si>
  <si>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</si>
  <si>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</si>
  <si>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</si>
  <si>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</si>
  <si>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</si>
  <si>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</si>
  <si>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</si>
  <si>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</si>
  <si>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</si>
  <si>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</si>
  <si>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</si>
  <si>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</si>
  <si>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</si>
  <si>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</si>
  <si>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</si>
  <si>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</si>
  <si>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</si>
  <si>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</si>
  <si>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</si>
  <si>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</si>
  <si>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</si>
  <si>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</si>
  <si>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</si>
  <si>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</si>
  <si>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</si>
  <si>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</si>
  <si>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</si>
  <si>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</si>
  <si>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</si>
  <si>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</si>
  <si>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</si>
  <si>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</si>
  <si>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</si>
  <si>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</si>
  <si>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</si>
  <si>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</si>
  <si>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</si>
  <si>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</si>
  <si>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</si>
  <si>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</si>
  <si>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</si>
  <si>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</si>
  <si>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</si>
  <si>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</si>
  <si>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</si>
  <si>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</si>
  <si>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</si>
  <si>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</si>
  <si>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</si>
  <si>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</si>
  <si>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</si>
  <si>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</si>
  <si>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</si>
  <si>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</si>
  <si>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</si>
  <si>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</si>
  <si>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</si>
  <si>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</si>
  <si>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</si>
  <si>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</si>
  <si>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</si>
  <si>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</si>
  <si>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</si>
  <si>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</si>
  <si>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</si>
  <si>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</si>
  <si>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</si>
  <si>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</si>
  <si>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</si>
  <si>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</si>
  <si>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</si>
  <si>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</si>
  <si>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</si>
  <si>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</si>
  <si>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</si>
  <si>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</si>
  <si>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</si>
  <si>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</si>
  <si>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</si>
  <si>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</si>
  <si>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</si>
  <si>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</si>
  <si>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</si>
  <si>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</si>
  <si>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</si>
  <si>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</si>
  <si>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</si>
  <si>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</si>
  <si>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</si>
  <si>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</si>
  <si>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</si>
  <si>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</si>
  <si>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</si>
  <si>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</si>
  <si>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</si>
  <si>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</si>
  <si>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</si>
  <si>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</si>
  <si>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</si>
  <si>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</si>
  <si>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</si>
  <si>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</si>
  <si>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</si>
  <si>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</si>
  <si>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</si>
  <si>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</si>
  <si>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</si>
  <si>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</si>
  <si>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</si>
  <si>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</si>
  <si>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</si>
  <si>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</si>
  <si>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</si>
  <si>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</si>
  <si>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</si>
  <si>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</si>
  <si>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</si>
  <si>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</si>
  <si>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</si>
  <si>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</si>
  <si>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</si>
  <si>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</si>
  <si>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</si>
  <si>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</si>
  <si>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</si>
  <si>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</si>
  <si>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</si>
  <si>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</si>
  <si>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</si>
  <si>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</si>
  <si>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</si>
  <si>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</si>
  <si>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</si>
  <si>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</si>
  <si>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</si>
  <si>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</si>
  <si>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</si>
  <si>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</si>
  <si>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</si>
  <si>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</si>
  <si>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</si>
  <si>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</si>
  <si>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</si>
  <si>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</si>
  <si>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</si>
  <si>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</si>
  <si>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</si>
  <si>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</si>
  <si>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</si>
  <si>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</si>
  <si>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</si>
  <si>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</si>
  <si>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</si>
  <si>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</si>
  <si>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</si>
  <si>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</si>
  <si>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</si>
  <si>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</si>
  <si>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</si>
  <si>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</si>
  <si>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</si>
  <si>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</si>
  <si>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</si>
  <si>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</si>
  <si>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</si>
  <si>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</si>
  <si>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</si>
  <si>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</si>
  <si>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</si>
  <si>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</si>
  <si>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</si>
  <si>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</si>
  <si>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</si>
  <si>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</si>
  <si>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</si>
  <si>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</si>
  <si>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</si>
  <si>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</si>
  <si>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</si>
  <si>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</si>
  <si>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</si>
  <si>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</si>
  <si>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</si>
  <si>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</si>
  <si>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</si>
  <si>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</si>
  <si>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</si>
  <si>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</si>
  <si>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</si>
  <si>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</si>
  <si>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</si>
  <si>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</si>
  <si>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</si>
  <si>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</si>
  <si>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</si>
  <si>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</si>
  <si>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</si>
  <si>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</si>
  <si>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</si>
  <si>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</si>
  <si>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</si>
  <si>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</si>
  <si>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</si>
  <si>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</si>
  <si>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</si>
  <si>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</si>
  <si>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</si>
  <si>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</si>
  <si>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</si>
  <si>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</si>
  <si>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</si>
  <si>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</si>
  <si>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</si>
  <si>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</si>
  <si>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</si>
  <si>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</si>
  <si>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</si>
  <si>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</si>
  <si>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</si>
  <si>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</si>
  <si>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</si>
  <si>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</si>
  <si>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</si>
  <si>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</si>
  <si>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</si>
  <si>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</si>
  <si>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</si>
  <si>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</si>
  <si>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</si>
  <si>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</si>
  <si>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</si>
  <si>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</si>
  <si>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</si>
  <si>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</si>
  <si>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</si>
  <si>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</si>
  <si>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</si>
  <si>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</si>
  <si>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</si>
  <si>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</si>
  <si>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</si>
  <si>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</si>
  <si>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</si>
  <si>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</si>
  <si>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</si>
  <si>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</si>
  <si>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</si>
  <si>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</si>
  <si>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</si>
  <si>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</si>
  <si>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</si>
  <si>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</si>
  <si>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</si>
  <si>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</si>
  <si>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</si>
  <si>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</si>
  <si>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</si>
  <si>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</si>
  <si>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</si>
  <si>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</si>
  <si>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</si>
  <si>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</si>
  <si>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</si>
  <si>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</si>
  <si>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</si>
  <si>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</si>
  <si>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</si>
  <si>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</si>
  <si>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</si>
  <si>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</si>
  <si>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</si>
  <si>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</si>
  <si>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</si>
  <si>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</si>
  <si>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</si>
  <si>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</si>
  <si>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</si>
  <si>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</si>
  <si>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</si>
  <si>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</si>
  <si>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</si>
  <si>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</si>
  <si>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</si>
  <si>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</si>
  <si>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</si>
  <si>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</si>
  <si>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</si>
  <si>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</si>
  <si>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</si>
  <si>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</si>
  <si>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</si>
  <si>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</si>
  <si>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</si>
  <si>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</si>
  <si>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</si>
  <si>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</si>
  <si>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</si>
  <si>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</si>
  <si>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</si>
  <si>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</si>
  <si>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</si>
  <si>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</si>
  <si>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</si>
  <si>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</si>
  <si>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</si>
  <si>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</si>
  <si>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</si>
  <si>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</si>
  <si>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</si>
  <si>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</si>
  <si>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</si>
  <si>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</si>
  <si>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</si>
  <si>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</si>
  <si>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</si>
  <si>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</si>
  <si>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</si>
  <si>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</si>
  <si>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</si>
  <si>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</si>
  <si>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</si>
  <si>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</si>
  <si>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</si>
  <si>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</si>
  <si>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</si>
  <si>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</si>
  <si>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</si>
  <si>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</si>
  <si>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</si>
  <si>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</si>
  <si>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</si>
  <si>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</si>
  <si>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</si>
  <si>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</si>
  <si>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</si>
  <si>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</si>
  <si>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</si>
  <si>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</si>
  <si>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</si>
  <si>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</si>
  <si>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</si>
  <si>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</si>
  <si>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</si>
  <si>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</si>
  <si>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</si>
  <si>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</si>
  <si>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</si>
  <si>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</si>
  <si>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</si>
  <si>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</si>
  <si>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</si>
  <si>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</si>
  <si>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</si>
  <si>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</si>
  <si>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</si>
  <si>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</si>
  <si>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</si>
  <si>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</si>
  <si>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</si>
  <si>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</si>
  <si>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</si>
  <si>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</si>
  <si>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</si>
  <si>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</si>
  <si>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</si>
  <si>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</si>
  <si>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</si>
  <si>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</si>
  <si>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</si>
  <si>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</si>
  <si>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</si>
  <si>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</si>
  <si>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</si>
  <si>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</si>
  <si>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</si>
  <si>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</si>
  <si>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</si>
  <si>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</si>
  <si>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</si>
  <si>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</si>
  <si>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</si>
  <si>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</si>
  <si>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</si>
  <si>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</si>
  <si>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</si>
  <si>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</si>
  <si>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</si>
  <si>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</si>
  <si>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</si>
  <si>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</si>
  <si>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</si>
  <si>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</si>
  <si>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</si>
  <si>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</si>
  <si>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</si>
  <si>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</si>
  <si>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</si>
  <si>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</si>
  <si>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</si>
  <si>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</si>
  <si>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</si>
  <si>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</si>
  <si>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</si>
  <si>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</si>
  <si>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</si>
  <si>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</si>
  <si>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</si>
  <si>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</si>
  <si>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</si>
  <si>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</si>
  <si>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</si>
  <si>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</si>
  <si>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</si>
  <si>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</si>
  <si>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</si>
  <si>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</si>
  <si>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</si>
  <si>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</si>
  <si>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</si>
  <si>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</si>
  <si>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</si>
  <si>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</si>
  <si>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</si>
  <si>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</si>
  <si>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</si>
  <si>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</si>
  <si>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</si>
  <si>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</si>
  <si>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</si>
  <si>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</si>
  <si>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</si>
  <si>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</si>
  <si>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</si>
  <si>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</si>
  <si>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</si>
  <si>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</si>
  <si>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</si>
  <si>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</si>
  <si>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</si>
  <si>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</si>
  <si>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</si>
  <si>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</si>
  <si>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</si>
  <si>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</si>
  <si>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</si>
  <si>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</si>
  <si>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</si>
  <si>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</si>
  <si>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</si>
  <si>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</si>
  <si>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</si>
  <si>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</si>
  <si>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</si>
  <si>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</si>
  <si>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</si>
  <si>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</si>
  <si>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</si>
  <si>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</si>
  <si>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</si>
  <si>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</si>
  <si>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</si>
  <si>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</si>
  <si>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</si>
  <si>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</si>
  <si>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</si>
  <si>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</si>
  <si>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</si>
  <si>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</si>
  <si>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</si>
  <si>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</si>
  <si>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</si>
  <si>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</si>
  <si>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</si>
  <si>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</si>
  <si>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</si>
  <si>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</si>
  <si>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</si>
  <si>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</si>
  <si>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</si>
  <si>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</si>
  <si>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</si>
  <si>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</si>
  <si>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</si>
  <si>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</si>
  <si>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</si>
  <si>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</si>
  <si>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</si>
  <si>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</si>
  <si>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</si>
  <si>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</si>
  <si>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</si>
  <si>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</si>
  <si>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</si>
  <si>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</si>
  <si>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</si>
  <si>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</si>
  <si>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</si>
  <si>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</si>
  <si>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</si>
  <si>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</si>
  <si>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</si>
  <si>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</si>
  <si>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</si>
  <si>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</si>
  <si>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</si>
  <si>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</si>
  <si>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</si>
  <si>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</si>
  <si>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</si>
  <si>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</si>
  <si>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</si>
  <si>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</si>
  <si>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</si>
  <si>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</si>
  <si>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</si>
  <si>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</si>
  <si>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</si>
  <si>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</si>
  <si>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</si>
  <si>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</si>
  <si>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</si>
  <si>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</si>
  <si>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</si>
  <si>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</si>
  <si>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</si>
  <si>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</si>
  <si>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</si>
  <si>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</si>
  <si>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</si>
  <si>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</si>
  <si>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</si>
  <si>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</si>
  <si>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</si>
  <si>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</si>
  <si>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</si>
  <si>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</si>
  <si>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</si>
  <si>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</si>
  <si>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</si>
  <si>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</si>
  <si>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</si>
  <si>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</si>
  <si>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</si>
  <si>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</si>
  <si>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</si>
  <si>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</si>
  <si>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</si>
  <si>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</si>
  <si>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</si>
  <si>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</si>
  <si>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</si>
  <si>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</si>
  <si>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</si>
  <si>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</si>
  <si>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</si>
  <si>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</si>
  <si>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</si>
  <si>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</si>
  <si>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</si>
  <si>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</si>
  <si>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</si>
  <si>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</si>
  <si>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</si>
  <si>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</si>
  <si>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</si>
  <si>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</si>
  <si>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</si>
  <si>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</si>
  <si>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</si>
  <si>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</si>
  <si>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</si>
  <si>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</si>
  <si>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</si>
  <si>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</si>
  <si>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</si>
  <si>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</si>
  <si>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</si>
  <si>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</si>
  <si>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</si>
  <si>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</si>
  <si>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</si>
  <si>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</si>
  <si>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</si>
  <si>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</si>
  <si>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</si>
  <si>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</si>
  <si>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</si>
  <si>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</si>
  <si>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</si>
  <si>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</si>
  <si>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</si>
  <si>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</si>
  <si>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</si>
  <si>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</si>
  <si>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</si>
  <si>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</si>
  <si>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</si>
  <si>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</si>
  <si>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</si>
  <si>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</si>
  <si>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</si>
  <si>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</si>
  <si>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</si>
  <si>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</si>
  <si>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</si>
  <si>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</si>
  <si>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</si>
  <si>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</si>
  <si>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</si>
  <si>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</si>
  <si>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</si>
  <si>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</si>
  <si>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</si>
  <si>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</si>
  <si>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</si>
  <si>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</si>
  <si>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</si>
  <si>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</si>
  <si>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</si>
  <si>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</si>
  <si>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</si>
  <si>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</si>
  <si>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</si>
  <si>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</si>
  <si>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</si>
  <si>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</si>
  <si>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</si>
  <si>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</si>
  <si>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</si>
  <si>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</si>
  <si>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</si>
  <si>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</si>
  <si>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</si>
  <si>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</si>
  <si>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</si>
  <si>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</si>
  <si>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</si>
  <si>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</si>
  <si>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</si>
  <si>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</si>
  <si>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</si>
  <si>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</si>
  <si>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</si>
  <si>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</si>
  <si>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</si>
  <si>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</si>
  <si>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</si>
  <si>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</si>
  <si>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</si>
  <si>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</si>
  <si>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</si>
  <si>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</si>
  <si>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</si>
  <si>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</si>
  <si>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</si>
  <si>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</si>
  <si>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</si>
  <si>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</si>
  <si>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</si>
  <si>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</si>
  <si>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</si>
  <si>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</si>
  <si>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</si>
  <si>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</si>
  <si>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</si>
  <si>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</si>
  <si>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</si>
  <si>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</si>
  <si>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</si>
  <si>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</si>
  <si>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</si>
  <si>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</si>
  <si>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</si>
  <si>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</si>
  <si>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</si>
  <si>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</si>
  <si>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</si>
  <si>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</si>
  <si>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</si>
  <si>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</si>
  <si>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</si>
  <si>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</si>
  <si>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</si>
  <si>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</si>
  <si>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</si>
  <si>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</si>
  <si>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</si>
  <si>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</si>
  <si>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</si>
  <si>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</si>
  <si>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</si>
  <si>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</si>
  <si>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</si>
  <si>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</si>
  <si>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</si>
  <si>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</si>
  <si>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</si>
  <si>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</si>
  <si>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</si>
  <si>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</si>
  <si>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</si>
  <si>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</si>
  <si>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</si>
  <si>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</si>
  <si>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</si>
  <si>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</si>
  <si>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</si>
  <si>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</si>
  <si>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</si>
  <si>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</si>
  <si>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</si>
  <si>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</si>
  <si>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</si>
  <si>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</si>
  <si>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</si>
  <si>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</si>
  <si>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</si>
  <si>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</si>
  <si>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</si>
  <si>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</si>
  <si>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</si>
  <si>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</si>
  <si>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</si>
  <si>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</si>
  <si>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</si>
  <si>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</si>
  <si>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</si>
  <si>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</si>
  <si>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</si>
  <si>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</si>
  <si>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</si>
  <si>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</si>
  <si>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</si>
  <si>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</si>
  <si>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</si>
  <si>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</si>
  <si>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</si>
  <si>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</si>
  <si>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</si>
  <si>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</si>
  <si>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</si>
  <si>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</si>
  <si>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</si>
  <si>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</si>
  <si>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</si>
  <si>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</si>
  <si>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</si>
  <si>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</si>
  <si>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</si>
  <si>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</si>
  <si>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</si>
  <si>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</si>
  <si>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</si>
  <si>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</si>
  <si>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</si>
  <si>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</si>
  <si>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</si>
  <si>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</si>
  <si>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</si>
  <si>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</si>
  <si>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</si>
  <si>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</si>
  <si>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</si>
  <si>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</si>
  <si>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</si>
  <si>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</si>
  <si>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</si>
  <si>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</si>
  <si>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</si>
  <si>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</si>
  <si>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</si>
  <si>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</si>
  <si>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</si>
  <si>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</si>
  <si>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</si>
  <si>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</si>
  <si>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</si>
  <si>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</si>
  <si>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</si>
  <si>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</si>
  <si>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</si>
  <si>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</si>
  <si>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</si>
  <si>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</si>
  <si>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</si>
  <si>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</si>
  <si>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</si>
  <si>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</si>
  <si>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</si>
  <si>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</si>
  <si>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</si>
  <si>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</si>
  <si>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</si>
  <si>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</si>
  <si>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</si>
  <si>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</si>
  <si>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</si>
  <si>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</si>
  <si>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</si>
  <si>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</si>
  <si>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</si>
  <si>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</si>
  <si>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</si>
  <si>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</si>
  <si>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</si>
  <si>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</si>
  <si>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</si>
  <si>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</si>
  <si>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</si>
  <si>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</si>
  <si>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</si>
  <si>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</si>
  <si>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</si>
  <si>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</si>
  <si>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</si>
  <si>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</si>
  <si>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</si>
  <si>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</si>
  <si>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</si>
  <si>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</si>
  <si>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</si>
  <si>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</si>
  <si>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</si>
  <si>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</si>
  <si>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</si>
  <si>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</si>
  <si>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</si>
  <si>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</si>
  <si>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</si>
  <si>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</si>
  <si>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</si>
  <si>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</si>
  <si>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</si>
  <si>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</si>
  <si>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</si>
  <si>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</si>
  <si>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</si>
  <si>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</si>
  <si>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</si>
  <si>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</si>
  <si>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</si>
  <si>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</si>
  <si>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</si>
  <si>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</si>
  <si>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</si>
  <si>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</si>
  <si>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</si>
  <si>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</si>
  <si>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</si>
  <si>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</si>
  <si>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</si>
  <si>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</si>
  <si>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</si>
  <si>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</si>
  <si>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</si>
  <si>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</si>
  <si>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</si>
  <si>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</si>
  <si>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</si>
  <si>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</si>
  <si>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</si>
  <si>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</si>
  <si>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</si>
  <si>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</si>
  <si>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</si>
  <si>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</si>
  <si>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</si>
  <si>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</si>
  <si>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</si>
  <si>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</si>
  <si>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</si>
  <si>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</si>
  <si>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</si>
  <si>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</si>
  <si>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</si>
  <si>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</si>
  <si>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</si>
  <si>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</si>
  <si>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</si>
  <si>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</si>
  <si>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</si>
  <si>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</si>
  <si>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</si>
  <si>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</si>
  <si>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</si>
  <si>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</si>
  <si>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</si>
  <si>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</si>
  <si>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</si>
  <si>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</si>
  <si>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</si>
  <si>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</si>
  <si>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</si>
  <si>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</si>
  <si>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</si>
  <si>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</si>
  <si>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</si>
  <si>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</si>
  <si>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</si>
  <si>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</si>
  <si>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</si>
  <si>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</si>
  <si>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</si>
  <si>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</si>
  <si>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</si>
  <si>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</si>
  <si>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</si>
  <si>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</si>
  <si>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</si>
  <si>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</si>
  <si>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</si>
  <si>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</si>
  <si>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</si>
  <si>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</si>
  <si>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</si>
  <si>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</si>
  <si>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</si>
  <si>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</si>
  <si>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</si>
  <si>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</si>
  <si>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</si>
  <si>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</si>
  <si>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</si>
  <si>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</si>
  <si>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</si>
  <si>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</si>
  <si>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</si>
  <si>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</si>
  <si>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</si>
  <si>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</si>
  <si>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</si>
  <si>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</si>
  <si>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</si>
  <si>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</si>
  <si>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</si>
  <si>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</si>
  <si>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</si>
  <si>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</si>
  <si>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</si>
  <si>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</si>
  <si>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</si>
  <si>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</si>
  <si>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</si>
  <si>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</si>
  <si>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</si>
  <si>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</si>
  <si>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</si>
  <si>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</si>
  <si>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</si>
  <si>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</si>
  <si>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</si>
  <si>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</si>
  <si>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</si>
  <si>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</si>
  <si>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</si>
  <si>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</si>
  <si>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</si>
  <si>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</si>
  <si>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</si>
  <si>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</si>
  <si>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</si>
  <si>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</si>
  <si>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</si>
  <si>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</si>
  <si>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</si>
  <si>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</si>
  <si>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</si>
  <si>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</si>
  <si>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</si>
  <si>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</si>
  <si>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</si>
  <si>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</si>
  <si>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</si>
  <si>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</si>
  <si>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</si>
  <si>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</si>
  <si>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</si>
  <si>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</si>
  <si>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</si>
  <si>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</si>
  <si>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</si>
  <si>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</si>
  <si>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</si>
  <si>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</si>
  <si>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</si>
  <si>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</si>
  <si>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</si>
  <si>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</si>
  <si>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</si>
  <si>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</si>
  <si>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</si>
  <si>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</si>
  <si>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</si>
  <si>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</si>
  <si>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</si>
  <si>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</si>
  <si>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</si>
  <si>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</si>
  <si>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</si>
  <si>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</si>
  <si>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</si>
  <si>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</si>
  <si>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</si>
  <si>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</si>
  <si>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</si>
  <si>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</si>
  <si>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</si>
  <si>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</si>
  <si>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</si>
  <si>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</si>
  <si>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</si>
  <si>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</si>
  <si>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</si>
  <si>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</si>
  <si>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</si>
  <si>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</si>
  <si>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</si>
  <si>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</si>
  <si>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</si>
  <si>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</si>
  <si>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</si>
  <si>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</si>
  <si>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</si>
  <si>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</si>
  <si>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</si>
  <si>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</si>
  <si>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</si>
  <si>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</si>
  <si>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</si>
  <si>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</si>
  <si>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</si>
  <si>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</si>
  <si>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</si>
  <si>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</si>
  <si>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</si>
  <si>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</si>
  <si>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</si>
  <si>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</si>
  <si>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</si>
  <si>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</si>
  <si>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</si>
  <si>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</si>
  <si>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</si>
  <si>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</si>
  <si>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</si>
  <si>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</si>
  <si>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</si>
  <si>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</si>
  <si>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</si>
  <si>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</si>
  <si>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</si>
  <si>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</si>
  <si>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</si>
  <si>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</si>
  <si>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</si>
  <si>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</si>
  <si>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</si>
  <si>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</si>
  <si>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</si>
  <si>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</si>
  <si>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</si>
  <si>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</si>
  <si>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</si>
  <si>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</si>
  <si>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</si>
  <si>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</si>
  <si>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</si>
  <si>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</si>
  <si>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</si>
  <si>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</si>
  <si>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</si>
  <si>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</si>
  <si>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</si>
  <si>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</si>
  <si>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</si>
  <si>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</si>
  <si>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</si>
  <si>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</si>
  <si>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</si>
  <si>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</si>
  <si>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</si>
  <si>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</si>
  <si>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</si>
  <si>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</si>
  <si>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</si>
  <si>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</si>
  <si>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</si>
  <si>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</si>
  <si>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</si>
  <si>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</si>
  <si>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</si>
  <si>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</si>
  <si>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</si>
  <si>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</si>
  <si>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</si>
  <si>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</si>
  <si>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</si>
  <si>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</si>
  <si>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</si>
  <si>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</si>
  <si>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</si>
  <si>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</si>
  <si>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</si>
  <si>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</si>
  <si>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</si>
  <si>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</si>
  <si>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</si>
  <si>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</si>
  <si>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</si>
  <si>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</si>
  <si>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</si>
  <si>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</si>
  <si>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</si>
  <si>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</si>
  <si>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</si>
  <si>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</si>
  <si>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</si>
  <si>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</si>
  <si>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</si>
  <si>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</si>
  <si>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</si>
  <si>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</si>
  <si>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</si>
  <si>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</si>
  <si>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</si>
  <si>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</si>
  <si>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</si>
  <si>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</si>
  <si>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</si>
  <si>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</si>
  <si>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</si>
  <si>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</si>
  <si>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</si>
  <si>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</si>
  <si>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</si>
  <si>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</si>
  <si>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</si>
  <si>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</si>
  <si>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</si>
  <si>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</si>
  <si>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</si>
  <si>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</si>
  <si>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</si>
  <si>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</si>
  <si>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</si>
  <si>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</si>
  <si>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</si>
  <si>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</si>
  <si>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</si>
  <si>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</si>
  <si>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</si>
  <si>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</si>
  <si>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</si>
  <si>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</si>
  <si>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</si>
  <si>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</si>
  <si>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</si>
  <si>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</si>
  <si>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</si>
  <si>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</si>
  <si>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</si>
  <si>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</si>
  <si>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</si>
  <si>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</si>
  <si>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</si>
  <si>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</si>
  <si>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</si>
  <si>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</si>
  <si>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</si>
  <si>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</si>
  <si>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</si>
  <si>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</si>
  <si>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</si>
  <si>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</si>
  <si>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</si>
  <si>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</si>
  <si>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</si>
  <si>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</si>
  <si>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</si>
  <si>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</si>
  <si>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</si>
  <si>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</si>
  <si>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</si>
  <si>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</si>
  <si>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</si>
  <si>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</si>
  <si>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</si>
  <si>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</si>
  <si>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</si>
  <si>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</si>
  <si>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</si>
  <si>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</si>
  <si>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</si>
  <si>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</si>
  <si>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</si>
  <si>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</si>
  <si>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</si>
  <si>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</si>
  <si>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</si>
  <si>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</si>
  <si>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</si>
  <si>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</si>
  <si>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</si>
  <si>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</si>
  <si>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</si>
  <si>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</si>
  <si>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</si>
  <si>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</si>
  <si>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</si>
  <si>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</si>
  <si>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</si>
  <si>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</si>
  <si>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</si>
  <si>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</si>
  <si>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</si>
  <si>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</si>
  <si>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</si>
  <si>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</si>
  <si>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</si>
  <si>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</si>
  <si>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</si>
  <si>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</si>
  <si>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</si>
  <si>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</si>
  <si>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</si>
  <si>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</si>
  <si>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</si>
  <si>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</si>
  <si>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</si>
  <si>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</si>
  <si>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</si>
  <si>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</si>
  <si>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</si>
  <si>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</si>
  <si>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</si>
  <si>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</si>
  <si>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</si>
  <si>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</si>
  <si>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</si>
  <si>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</si>
  <si>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</si>
  <si>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</si>
  <si>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</si>
  <si>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</si>
  <si>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</si>
  <si>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</si>
  <si>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</si>
  <si>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</si>
  <si>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</si>
  <si>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</si>
  <si>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</si>
  <si>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</si>
  <si>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</si>
  <si>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</si>
  <si>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</si>
  <si>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</si>
  <si>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</si>
  <si>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</si>
  <si>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</si>
  <si>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</si>
  <si>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</si>
  <si>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</si>
  <si>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</si>
  <si>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</si>
  <si>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</si>
  <si>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</si>
  <si>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</si>
  <si>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</si>
  <si>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</si>
  <si>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</si>
  <si>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</si>
  <si>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</si>
  <si>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</si>
  <si>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</si>
  <si>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</si>
  <si>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</si>
  <si>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</si>
  <si>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</si>
  <si>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</si>
  <si>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</si>
  <si>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</si>
  <si>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</si>
  <si>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</si>
  <si>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</si>
  <si>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</si>
  <si>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</si>
  <si>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</si>
  <si>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</si>
  <si>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</si>
  <si>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</si>
  <si>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</si>
  <si>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</si>
  <si>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</si>
  <si>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</si>
  <si>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</si>
  <si>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</si>
  <si>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</si>
  <si>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</si>
  <si>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</si>
  <si>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</si>
  <si>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</si>
  <si>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</si>
  <si>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</si>
  <si>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</si>
  <si>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</si>
  <si>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</si>
  <si>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</si>
  <si>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</si>
  <si>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</si>
  <si>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</si>
  <si>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</si>
  <si>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</si>
  <si>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</si>
  <si>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</si>
  <si>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</si>
  <si>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</si>
  <si>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</si>
  <si>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</si>
  <si>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</si>
  <si>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</si>
  <si>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</si>
  <si>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</si>
  <si>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</si>
  <si>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</si>
  <si>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</si>
  <si>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</si>
  <si>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</si>
  <si>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</si>
  <si>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</si>
  <si>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</si>
  <si>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</si>
  <si>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</si>
  <si>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</si>
  <si>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</si>
  <si>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</si>
  <si>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</si>
  <si>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</si>
  <si>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</si>
  <si>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</si>
  <si>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</si>
  <si>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</si>
  <si>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</si>
  <si>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</si>
  <si>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</si>
  <si>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</si>
  <si>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</si>
  <si>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</si>
  <si>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</si>
  <si>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</si>
  <si>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</si>
  <si>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</si>
  <si>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</si>
  <si>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</si>
  <si>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</si>
  <si>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</si>
  <si>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</si>
  <si>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</si>
  <si>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</si>
  <si>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</si>
  <si>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</si>
  <si>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</si>
  <si>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</si>
  <si>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</si>
  <si>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</si>
  <si>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</si>
  <si>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</si>
  <si>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</si>
  <si>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</si>
  <si>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</si>
  <si>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</si>
  <si>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</si>
  <si>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</si>
  <si>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</si>
  <si>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</si>
  <si>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</si>
  <si>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</si>
  <si>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</si>
  <si>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</si>
  <si>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</si>
  <si>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</si>
  <si>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</si>
  <si>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</si>
  <si>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</si>
  <si>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</si>
  <si>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</si>
  <si>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</si>
  <si>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</si>
  <si>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</si>
  <si>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</si>
  <si>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</si>
  <si>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</si>
  <si>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</si>
  <si>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</si>
  <si>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</si>
  <si>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</si>
  <si>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</si>
  <si>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</si>
  <si>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</si>
  <si>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</si>
  <si>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</si>
  <si>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</si>
  <si>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</si>
  <si>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</si>
  <si>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</si>
  <si>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</si>
  <si>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</si>
  <si>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</si>
  <si>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</si>
  <si>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</si>
  <si>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</si>
  <si>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</si>
  <si>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</si>
  <si>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</si>
  <si>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</si>
  <si>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</si>
  <si>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</si>
  <si>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</si>
  <si>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</si>
  <si>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</si>
  <si>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</si>
  <si>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</si>
  <si>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</si>
  <si>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</si>
  <si>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</si>
  <si>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</si>
  <si>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</si>
  <si>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</si>
  <si>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</si>
  <si>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</si>
  <si>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</si>
  <si>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</si>
  <si>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</si>
  <si>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</si>
  <si>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</si>
  <si>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</si>
  <si>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</si>
  <si>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</si>
  <si>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</si>
  <si>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</si>
  <si>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</si>
  <si>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</si>
  <si>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</si>
  <si>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</si>
  <si>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</si>
  <si>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</si>
  <si>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</si>
  <si>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</si>
  <si>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</si>
  <si>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</si>
  <si>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</si>
  <si>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</si>
  <si>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</si>
  <si>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</si>
  <si>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</si>
  <si>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</si>
  <si>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</si>
  <si>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</si>
  <si>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</si>
  <si>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</si>
  <si>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</si>
  <si>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</si>
  <si>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</si>
  <si>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</si>
  <si>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</si>
  <si>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</si>
  <si>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</si>
  <si>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</si>
  <si>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</si>
  <si>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</si>
  <si>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</si>
  <si>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</si>
  <si>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</si>
  <si>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</si>
  <si>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</si>
  <si>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</si>
  <si>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</si>
  <si>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</si>
  <si>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</si>
  <si>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</si>
  <si>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</si>
  <si>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</si>
  <si>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</si>
  <si>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</si>
  <si>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</si>
  <si>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</si>
  <si>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</si>
  <si>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</si>
  <si>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</si>
  <si>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</si>
  <si>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</si>
  <si>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</si>
  <si>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</si>
  <si>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</si>
  <si>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</si>
  <si>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</si>
  <si>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</si>
  <si>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</si>
  <si>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</si>
  <si>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</si>
  <si>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</si>
  <si>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</si>
  <si>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</si>
  <si>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</si>
  <si>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</si>
  <si>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</si>
  <si>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</si>
  <si>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</si>
  <si>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</si>
  <si>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</si>
  <si>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</si>
  <si>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</si>
  <si>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</si>
  <si>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</si>
  <si>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</si>
  <si>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</si>
  <si>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</si>
  <si>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</si>
  <si>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</si>
  <si>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</si>
  <si>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</si>
  <si>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</si>
  <si>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</si>
  <si>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</si>
  <si>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</si>
  <si>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</si>
  <si>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</si>
  <si>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</si>
  <si>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</si>
  <si>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</si>
  <si>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</si>
  <si>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</si>
  <si>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</si>
  <si>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</si>
  <si>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</si>
  <si>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</si>
  <si>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</si>
  <si>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</si>
  <si>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</si>
  <si>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</si>
  <si>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</si>
  <si>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</si>
  <si>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</si>
  <si>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</si>
  <si>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</si>
  <si>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</si>
  <si>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</si>
  <si>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</si>
  <si>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</si>
  <si>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</si>
  <si>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</si>
  <si>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</si>
  <si>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</si>
  <si>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</si>
  <si>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</si>
  <si>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</si>
  <si>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</si>
  <si>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</si>
  <si>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</si>
  <si>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</si>
  <si>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</si>
  <si>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</si>
  <si>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</si>
  <si>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</si>
  <si>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</si>
  <si>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</si>
  <si>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</si>
  <si>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</si>
  <si>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</si>
  <si>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</si>
  <si>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</si>
  <si>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</si>
  <si>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</si>
  <si>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</si>
  <si>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</si>
  <si>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</si>
  <si>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</si>
  <si>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</si>
  <si>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</si>
  <si>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</si>
  <si>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</si>
  <si>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</si>
  <si>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</si>
  <si>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</si>
  <si>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</si>
  <si>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</si>
  <si>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</si>
  <si>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</si>
  <si>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</si>
  <si>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</si>
  <si>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</si>
  <si>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</si>
  <si>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</si>
  <si>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</si>
  <si>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</si>
  <si>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</si>
  <si>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</si>
  <si>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</si>
  <si>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</si>
  <si>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</si>
  <si>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</si>
  <si>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</si>
  <si>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</si>
  <si>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</si>
  <si>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</si>
  <si>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</si>
  <si>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</si>
  <si>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</si>
  <si>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</si>
  <si>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</si>
  <si>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</si>
  <si>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</si>
  <si>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</si>
  <si>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</si>
  <si>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</si>
  <si>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</si>
  <si>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</si>
  <si>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</si>
  <si>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</si>
  <si>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</si>
  <si>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</si>
  <si>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</si>
  <si>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</si>
  <si>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</si>
  <si>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</si>
  <si>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</si>
  <si>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</si>
  <si>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</si>
  <si>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</si>
  <si>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</si>
  <si>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</si>
  <si>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</si>
  <si>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</si>
  <si>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</si>
  <si>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</si>
  <si>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</si>
  <si>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</si>
  <si>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</si>
  <si>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</si>
  <si>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</si>
  <si>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</si>
  <si>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</si>
  <si>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</si>
  <si>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</si>
  <si>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</si>
  <si>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</si>
  <si>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</si>
  <si>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</si>
  <si>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</si>
  <si>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</si>
  <si>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</si>
  <si>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</si>
  <si>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</si>
  <si>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</si>
  <si>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</si>
  <si>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</si>
  <si>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</si>
  <si>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</si>
  <si>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</si>
  <si>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</si>
  <si>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</si>
  <si>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</si>
  <si>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</si>
  <si>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</si>
  <si>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</si>
  <si>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</si>
  <si>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</si>
  <si>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</si>
  <si>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</si>
  <si>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</si>
  <si>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</si>
  <si>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</si>
  <si>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</si>
  <si>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</si>
  <si>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</si>
  <si>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</si>
  <si>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</si>
  <si>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</si>
  <si>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</si>
  <si>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</si>
  <si>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</si>
  <si>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</si>
  <si>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</si>
  <si>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</si>
  <si>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</si>
  <si>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</si>
  <si>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</si>
  <si>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</si>
  <si>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</si>
  <si>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</si>
  <si>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</si>
  <si>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</si>
  <si>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</si>
  <si>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</si>
  <si>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</si>
  <si>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</si>
  <si>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</si>
  <si>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</si>
  <si>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</si>
  <si>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</si>
  <si>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</si>
  <si>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</si>
  <si>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</si>
  <si>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</si>
  <si>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</si>
  <si>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</si>
  <si>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</si>
  <si>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</si>
  <si>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</si>
  <si>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</si>
  <si>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</si>
  <si>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</si>
  <si>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</si>
  <si>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</si>
  <si>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</si>
  <si>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</si>
  <si>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</si>
  <si>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</si>
  <si>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</si>
  <si>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</si>
  <si>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</si>
  <si>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</si>
  <si>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</si>
  <si>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</si>
  <si>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</si>
  <si>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</si>
  <si>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</si>
  <si>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</si>
  <si>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</si>
  <si>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</si>
  <si>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</si>
  <si>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</si>
  <si>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</si>
  <si>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</si>
  <si>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</si>
  <si>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</si>
  <si>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</si>
  <si>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</si>
  <si>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</si>
  <si>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</si>
  <si>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</si>
  <si>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</si>
  <si>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</si>
  <si>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</si>
  <si>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</si>
  <si>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</si>
  <si>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</si>
  <si>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</si>
  <si>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</si>
  <si>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</si>
  <si>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</si>
  <si>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</si>
  <si>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</si>
  <si>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</si>
  <si>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</si>
  <si>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</si>
  <si>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</si>
  <si>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</si>
  <si>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</si>
  <si>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</si>
  <si>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</si>
  <si>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</si>
  <si>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</si>
  <si>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</si>
  <si>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</si>
  <si>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</si>
  <si>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</si>
  <si>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</si>
  <si>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</si>
  <si>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</si>
  <si>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</si>
  <si>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</si>
  <si>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</si>
  <si>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</si>
  <si>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</si>
  <si>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</si>
  <si>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</si>
  <si>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</si>
  <si>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</si>
  <si>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</si>
  <si>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</si>
  <si>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</si>
  <si>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</si>
  <si>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</si>
  <si>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</si>
  <si>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</si>
  <si>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</si>
  <si>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</si>
  <si>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</si>
  <si>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</si>
  <si>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</si>
  <si>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</si>
  <si>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</si>
  <si>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</si>
  <si>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</si>
  <si>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</si>
  <si>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</si>
  <si>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</si>
  <si>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</si>
  <si>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</si>
  <si>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</si>
  <si>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</si>
  <si>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</si>
  <si>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</si>
  <si>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</si>
  <si>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</si>
  <si>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</si>
  <si>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</si>
  <si>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</si>
  <si>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</si>
  <si>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</si>
  <si>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</si>
  <si>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</si>
  <si>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</si>
  <si>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</si>
  <si>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</si>
  <si>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</si>
  <si>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</si>
  <si>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</si>
  <si>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</si>
  <si>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</si>
  <si>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</si>
  <si>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</si>
  <si>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</si>
  <si>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</si>
  <si>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</si>
  <si>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</si>
  <si>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</si>
  <si>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</si>
  <si>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</si>
  <si>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</si>
  <si>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</si>
  <si>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</si>
  <si>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</si>
  <si>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</si>
  <si>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</si>
  <si>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</si>
  <si>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</si>
  <si>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</si>
  <si>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</si>
  <si>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</si>
  <si>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</si>
  <si>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</si>
  <si>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</si>
  <si>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</si>
  <si>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</si>
  <si>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</si>
  <si>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</si>
  <si>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</si>
  <si>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</si>
  <si>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</si>
  <si>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</si>
  <si>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</si>
  <si>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</si>
  <si>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</si>
  <si>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</si>
  <si>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</si>
  <si>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</si>
  <si>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</si>
  <si>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</si>
  <si>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</si>
  <si>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</si>
  <si>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</si>
  <si>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</si>
  <si>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</si>
  <si>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</si>
  <si>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</si>
  <si>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</si>
  <si>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</si>
  <si>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</si>
  <si>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</si>
  <si>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</si>
  <si>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</si>
  <si>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</si>
  <si>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</si>
  <si>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</si>
  <si>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</si>
  <si>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区县</t>
  </si>
  <si>
    <t>板块</t>
  </si>
  <si>
    <t>土地位置</t>
  </si>
  <si>
    <t>出让方式</t>
  </si>
  <si>
    <t>建设用地面积(㎡)</t>
  </si>
  <si>
    <t>规划建筑面积(㎡)</t>
  </si>
  <si>
    <t>截止日期</t>
  </si>
  <si>
    <t>成交日期</t>
  </si>
  <si>
    <t>受让单位</t>
  </si>
  <si>
    <t>起始价(万元)</t>
  </si>
  <si>
    <t>成交价(万元)</t>
  </si>
  <si>
    <t>成交楼面价(元/㎡)</t>
  </si>
  <si>
    <t>溢价率</t>
  </si>
  <si>
    <t>郑州市</t>
  </si>
  <si>
    <t>挂牌</t>
  </si>
  <si>
    <t>住宅用地</t>
  </si>
  <si>
    <t>出让</t>
  </si>
  <si>
    <t>地上</t>
  </si>
  <si>
    <t>比较法-住宅、综合</t>
  </si>
  <si>
    <t>剩余法-待开发</t>
  </si>
  <si>
    <t>楼面地价</t>
  </si>
  <si>
    <t>土地</t>
  </si>
  <si>
    <t>项目全部</t>
  </si>
  <si>
    <t>推出特殊政策</t>
  </si>
  <si>
    <t>新郑市郑新路东侧、新村大道北侧</t>
  </si>
  <si>
    <t>新郑市</t>
  </si>
  <si>
    <t>大于1.5并且小于或等于2.5</t>
  </si>
  <si>
    <t>2017-11-28</t>
  </si>
  <si>
    <t>竞得人信息暂无,待成交公告公布后补齐</t>
  </si>
  <si>
    <t>新村镇新村北路南侧、规划华瑞路西侧</t>
  </si>
  <si>
    <t>大于1并且小于2</t>
  </si>
  <si>
    <t>2017-06-22</t>
  </si>
  <si>
    <t>宋志强</t>
  </si>
  <si>
    <t>新村镇滨河南路南侧、规划华瑞路西侧</t>
  </si>
  <si>
    <t>河南英地置业有限公司</t>
  </si>
  <si>
    <t>新郑市郑新路东侧、新村大道北侧</t>
    <phoneticPr fontId="233" type="noConversion"/>
  </si>
  <si>
    <t>新村镇新村北路南侧、规划华瑞路西侧</t>
    <phoneticPr fontId="233" type="noConversion"/>
  </si>
  <si>
    <t>新村镇滨河南路南侧、规划华瑞路西侧</t>
    <phoneticPr fontId="233" type="noConversion"/>
  </si>
  <si>
    <t>合院</t>
  </si>
  <si>
    <t>合院</t>
    <phoneticPr fontId="14" type="noConversion"/>
  </si>
  <si>
    <t>叠拼</t>
  </si>
  <si>
    <t>合院</t>
    <phoneticPr fontId="7" type="noConversion"/>
  </si>
  <si>
    <t>叠拼</t>
    <phoneticPr fontId="7" type="noConversion"/>
  </si>
  <si>
    <r>
      <rPr>
        <sz val="11"/>
        <rFont val="宋体"/>
        <family val="3"/>
        <charset val="134"/>
      </rPr>
      <t>新郑</t>
    </r>
    <r>
      <rPr>
        <sz val="11"/>
        <rFont val="Arial"/>
        <family val="2"/>
      </rPr>
      <t>3</t>
    </r>
    <r>
      <rPr>
        <sz val="11"/>
        <rFont val="宋体"/>
        <family val="3"/>
        <charset val="134"/>
      </rPr>
      <t>、</t>
    </r>
    <r>
      <rPr>
        <sz val="11"/>
        <rFont val="Arial"/>
        <family val="2"/>
      </rPr>
      <t>1</t>
    </r>
    <r>
      <rPr>
        <sz val="11"/>
        <rFont val="宋体"/>
        <family val="3"/>
        <charset val="134"/>
      </rPr>
      <t>、</t>
    </r>
    <r>
      <rPr>
        <sz val="11"/>
        <rFont val="Arial"/>
        <family val="2"/>
      </rPr>
      <t>101</t>
    </r>
    <r>
      <rPr>
        <sz val="11"/>
        <rFont val="宋体"/>
        <family val="3"/>
        <charset val="134"/>
      </rPr>
      <t>路，新密立交桥</t>
    </r>
    <phoneticPr fontId="26" type="noConversion"/>
  </si>
  <si>
    <t>较好</t>
  </si>
  <si>
    <r>
      <rPr>
        <sz val="11"/>
        <rFont val="宋体"/>
        <family val="3"/>
        <charset val="134"/>
      </rPr>
      <t>新郑</t>
    </r>
    <r>
      <rPr>
        <sz val="11"/>
        <rFont val="Arial"/>
        <family val="2"/>
      </rPr>
      <t>201</t>
    </r>
    <r>
      <rPr>
        <sz val="11"/>
        <rFont val="宋体"/>
        <family val="3"/>
        <charset val="134"/>
      </rPr>
      <t>路</t>
    </r>
    <phoneticPr fontId="26" type="noConversion"/>
  </si>
  <si>
    <t>一般</t>
  </si>
  <si>
    <t>较差</t>
  </si>
  <si>
    <t>3.7公里 绿地香湖湾</t>
    <phoneticPr fontId="3" type="noConversion"/>
  </si>
  <si>
    <r>
      <t>1</t>
    </r>
    <r>
      <rPr>
        <sz val="11"/>
        <rFont val="宋体"/>
        <family val="3"/>
        <charset val="134"/>
      </rPr>
      <t>公里内盛世嘉苑、安居小区、芙蓉花园、郑国城、卧佛小区、</t>
    </r>
    <phoneticPr fontId="26" type="noConversion"/>
  </si>
  <si>
    <r>
      <t>1</t>
    </r>
    <r>
      <rPr>
        <sz val="11"/>
        <rFont val="宋体"/>
        <family val="3"/>
        <charset val="134"/>
      </rPr>
      <t>公里内未来花园、学森苑、步青苑、宏基完成月季苑</t>
    </r>
    <phoneticPr fontId="26" type="noConversion"/>
  </si>
  <si>
    <r>
      <t>2.9</t>
    </r>
    <r>
      <rPr>
        <sz val="11"/>
        <rFont val="宋体"/>
        <family val="3"/>
        <charset val="134"/>
      </rPr>
      <t>公里</t>
    </r>
    <r>
      <rPr>
        <sz val="11"/>
        <rFont val="Arial"/>
        <family val="2"/>
      </rPr>
      <t xml:space="preserve"> </t>
    </r>
    <r>
      <rPr>
        <sz val="11"/>
        <rFont val="宋体"/>
        <family val="3"/>
        <charset val="134"/>
      </rPr>
      <t>轩辕湖公园</t>
    </r>
    <r>
      <rPr>
        <sz val="11"/>
        <rFont val="Arial"/>
        <family val="2"/>
      </rPr>
      <t xml:space="preserve"> 1</t>
    </r>
    <r>
      <rPr>
        <sz val="11"/>
        <rFont val="宋体"/>
        <family val="3"/>
        <charset val="134"/>
      </rPr>
      <t>公里内郑州理工职业学院、郑州华信学院西校区、郑州工业应用技术学院西校区</t>
    </r>
    <phoneticPr fontId="26" type="noConversion"/>
  </si>
  <si>
    <r>
      <t>3.3</t>
    </r>
    <r>
      <rPr>
        <sz val="11"/>
        <rFont val="宋体"/>
        <family val="3"/>
        <charset val="134"/>
      </rPr>
      <t>公里郑韩故城国家考古遗址公园，</t>
    </r>
    <r>
      <rPr>
        <sz val="11"/>
        <rFont val="Arial"/>
        <family val="2"/>
      </rPr>
      <t>3.9</t>
    </r>
    <r>
      <rPr>
        <sz val="11"/>
        <rFont val="宋体"/>
        <family val="3"/>
        <charset val="134"/>
      </rPr>
      <t>公里轩辕湖公园；</t>
    </r>
    <r>
      <rPr>
        <sz val="11"/>
        <rFont val="Arial"/>
        <family val="2"/>
      </rPr>
      <t>4</t>
    </r>
    <r>
      <rPr>
        <sz val="11"/>
        <rFont val="宋体"/>
        <family val="3"/>
        <charset val="134"/>
      </rPr>
      <t>公里内郑州华信学院西校区、郑州工业应用技术学院西校区、郑州市新郑广播电视大学、郑州工业学院北区</t>
    </r>
    <phoneticPr fontId="26" type="noConversion"/>
  </si>
  <si>
    <t>1.8公里双鹤湖公园、</t>
    <phoneticPr fontId="3" type="noConversion"/>
  </si>
  <si>
    <t>无医院、1公里内八千乡刘店完全小学；1.9公里邮政三农服务站(湾左村卫生所西南)</t>
    <phoneticPr fontId="3" type="noConversion"/>
  </si>
  <si>
    <r>
      <t>1</t>
    </r>
    <r>
      <rPr>
        <sz val="11"/>
        <rFont val="宋体"/>
        <family val="3"/>
        <charset val="134"/>
      </rPr>
      <t>公里内新郑市新村镇卫生院、黄河中心医院协作医院、中国邮政储蓄银行</t>
    </r>
    <r>
      <rPr>
        <sz val="11"/>
        <rFont val="Arial"/>
        <family val="2"/>
      </rPr>
      <t>(</t>
    </r>
    <r>
      <rPr>
        <sz val="11"/>
        <rFont val="宋体"/>
        <family val="3"/>
        <charset val="134"/>
      </rPr>
      <t>新村邮政支局</t>
    </r>
    <r>
      <rPr>
        <sz val="11"/>
        <rFont val="Arial"/>
        <family val="2"/>
      </rPr>
      <t>)</t>
    </r>
    <r>
      <rPr>
        <sz val="11"/>
        <rFont val="宋体"/>
        <family val="3"/>
        <charset val="134"/>
      </rPr>
      <t>、中国邮政储蓄银行</t>
    </r>
    <r>
      <rPr>
        <sz val="11"/>
        <rFont val="Arial"/>
        <family val="2"/>
      </rPr>
      <t>ATM(</t>
    </r>
    <r>
      <rPr>
        <sz val="11"/>
        <rFont val="宋体"/>
        <family val="3"/>
        <charset val="134"/>
      </rPr>
      <t>新村邮政储蓄</t>
    </r>
    <r>
      <rPr>
        <sz val="11"/>
        <rFont val="Arial"/>
        <family val="2"/>
      </rPr>
      <t>)</t>
    </r>
    <r>
      <rPr>
        <sz val="11"/>
        <rFont val="宋体"/>
        <family val="3"/>
        <charset val="134"/>
      </rPr>
      <t>、河南省新郑市农村商业银行</t>
    </r>
    <r>
      <rPr>
        <sz val="11"/>
        <rFont val="Arial"/>
        <family val="2"/>
      </rPr>
      <t>(</t>
    </r>
    <r>
      <rPr>
        <sz val="11"/>
        <rFont val="宋体"/>
        <family val="3"/>
        <charset val="134"/>
      </rPr>
      <t>新村支行</t>
    </r>
    <r>
      <rPr>
        <sz val="11"/>
        <rFont val="Arial"/>
        <family val="2"/>
      </rPr>
      <t>)</t>
    </r>
    <r>
      <rPr>
        <sz val="11"/>
        <rFont val="宋体"/>
        <family val="3"/>
        <charset val="134"/>
      </rPr>
      <t>、郑州剑桥中学、华信剑桥小学、新郑市新村镇新村完全小学、左右邻时代广场、好客隆购物广场</t>
    </r>
    <phoneticPr fontId="26" type="noConversion"/>
  </si>
  <si>
    <r>
      <t>1</t>
    </r>
    <r>
      <rPr>
        <sz val="11"/>
        <rFont val="宋体"/>
        <family val="3"/>
        <charset val="134"/>
      </rPr>
      <t>公里内新郑市第五人民医院、新郑市新型农村合作医疗定点医院、新建路社区卫生服务中心、新郑市轩辕中学、城关乡周庄小学、新郑市城关乡第一初级中学、迪士尼双语幼儿园、新郑市农村商业银行</t>
    </r>
    <r>
      <rPr>
        <sz val="11"/>
        <rFont val="Arial"/>
        <family val="2"/>
      </rPr>
      <t>(</t>
    </r>
    <r>
      <rPr>
        <sz val="11"/>
        <rFont val="宋体"/>
        <family val="3"/>
        <charset val="134"/>
      </rPr>
      <t>城关支行</t>
    </r>
    <r>
      <rPr>
        <sz val="11"/>
        <rFont val="Arial"/>
        <family val="2"/>
      </rPr>
      <t>)</t>
    </r>
    <r>
      <rPr>
        <sz val="11"/>
        <rFont val="宋体"/>
        <family val="3"/>
        <charset val="134"/>
      </rPr>
      <t>、中国邮政储蓄银行</t>
    </r>
    <r>
      <rPr>
        <sz val="11"/>
        <rFont val="Arial"/>
        <family val="2"/>
      </rPr>
      <t>(</t>
    </r>
    <r>
      <rPr>
        <sz val="11"/>
        <rFont val="宋体"/>
        <family val="3"/>
        <charset val="134"/>
      </rPr>
      <t>新郑市西城营业所</t>
    </r>
    <r>
      <rPr>
        <sz val="11"/>
        <rFont val="Arial"/>
        <family val="2"/>
      </rPr>
      <t>)</t>
    </r>
    <r>
      <rPr>
        <sz val="11"/>
        <rFont val="宋体"/>
        <family val="3"/>
        <charset val="134"/>
      </rPr>
      <t>、东里家具广场、郑韩摩托生活馆</t>
    </r>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</si>
  <si>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</si>
  <si>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</si>
  <si>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</si>
  <si>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</si>
  <si>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</si>
  <si>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</si>
  <si>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高速路</t>
    <phoneticPr fontId="26" type="noConversion"/>
  </si>
  <si>
    <t>快速路</t>
    <phoneticPr fontId="26" type="noConversion"/>
  </si>
  <si>
    <t>城市主干道</t>
    <phoneticPr fontId="26" type="noConversion"/>
  </si>
  <si>
    <t>城市次干道</t>
    <phoneticPr fontId="26" type="noConversion"/>
  </si>
  <si>
    <t>支路</t>
  </si>
  <si>
    <t>支路</t>
    <phoneticPr fontId="26" type="noConversion"/>
  </si>
  <si>
    <t>住宅</t>
    <phoneticPr fontId="26" type="noConversion"/>
  </si>
  <si>
    <t>B1#(4层合院）</t>
    <phoneticPr fontId="3" type="noConversion"/>
  </si>
  <si>
    <t>B2#（6层叠拼）</t>
    <phoneticPr fontId="3" type="noConversion"/>
  </si>
  <si>
    <t>B3#（6层叠拼）</t>
    <phoneticPr fontId="3" type="noConversion"/>
  </si>
  <si>
    <t>B4#（5层定制）</t>
    <phoneticPr fontId="3" type="noConversion"/>
  </si>
  <si>
    <t>B5#(6层叠拼）</t>
    <phoneticPr fontId="3" type="noConversion"/>
  </si>
  <si>
    <t>B6#（4层合院）</t>
    <phoneticPr fontId="3" type="noConversion"/>
  </si>
  <si>
    <t>B7#（7层叠拼）</t>
    <phoneticPr fontId="3" type="noConversion"/>
  </si>
  <si>
    <t>B8#（6层叠拼）</t>
    <phoneticPr fontId="3" type="noConversion"/>
  </si>
  <si>
    <t>B9#（6层叠拼）</t>
    <phoneticPr fontId="3" type="noConversion"/>
  </si>
  <si>
    <t>B10#（7层叠拼）</t>
    <phoneticPr fontId="3" type="noConversion"/>
  </si>
  <si>
    <t>B11#（7层叠拼）</t>
    <phoneticPr fontId="3" type="noConversion"/>
  </si>
  <si>
    <t>B12#（7层叠拼）</t>
    <phoneticPr fontId="3" type="noConversion"/>
  </si>
  <si>
    <t>B13#（7层叠拼）</t>
    <phoneticPr fontId="3" type="noConversion"/>
  </si>
  <si>
    <t>B14#（7层叠拼）</t>
    <phoneticPr fontId="3" type="noConversion"/>
  </si>
  <si>
    <t>否</t>
  </si>
  <si>
    <t>车库</t>
  </si>
  <si>
    <t>车库</t>
    <phoneticPr fontId="3" type="noConversion"/>
  </si>
  <si>
    <t>地下</t>
  </si>
  <si>
    <t>车库</t>
    <phoneticPr fontId="7" type="noConversion"/>
  </si>
  <si>
    <t>不动产收益法-车库</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</si>
</sst>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17" borderId="0" xfId="0" applyFill="1" applyAlignment="1"/>
    <xf numFmtId="0" fontId="145" fillId="17" borderId="0" xfId="0" applyFont="1" applyFill="1" applyAlignment="1"/>
    <xf numFmtId="184" fontId="76" fillId="18" borderId="2" xfId="0"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19" borderId="2" xfId="0" applyFont="1" applyFill="1" applyBorder="1" applyAlignment="1" applyProtection="1">
      <alignment horizontal="center" vertical="center"/>
      <protection locked="0"/>
    </xf>
    <xf numFmtId="49" fontId="156" fillId="19" borderId="5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2" xfId="0" applyNumberFormat="1" applyFont="1" applyFill="1" applyBorder="1" applyAlignment="1" applyProtection="1">
      <alignment horizontal="center" vertical="center" wrapText="1"/>
    </xf>
    <xf numFmtId="183" fontId="188" fillId="0" borderId="2" xfId="0" applyNumberFormat="1" applyFont="1" applyFill="1" applyBorder="1" applyAlignment="1" applyProtection="1">
      <alignment horizontal="center" vertical="center" shrinkToFi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465287</xdr:colOff>
      <xdr:row>43</xdr:row>
      <xdr:rowOff>123017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514287" cy="6466667"/>
        </a:xfrm>
        <a:prstGeom prst="rect">
          <a:avLst/>
        </a:prstGeom>
      </xdr:spPr>
    </xdr:pic>
    <xdr:clientData/>
  </xdr:twoCellAnchor>
  <xdr:twoCellAnchor editAs="oneCell">
    <xdr:from>
      <xdr:col>0</xdr:col>
      <xdr:colOff>0</xdr:colOff>
      <xdr:row>47</xdr:row>
      <xdr:rowOff>0</xdr:rowOff>
    </xdr:from>
    <xdr:to>
      <xdr:col>5</xdr:col>
      <xdr:colOff>1637385</xdr:colOff>
      <xdr:row>85</xdr:row>
      <xdr:rowOff>113472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7323810" cy="6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03;&#22320;-&#37073;&#24030;&#31354;&#28207;H5-12-04&#65288;&#25970;&#27979;&#31639;.0208&#65289;&#28155;&#21152;&#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03;&#22320;-&#37073;&#24030;&#31354;&#28207;%20H5-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剩余法-待开发"/>
      <sheetName val="剩余法-现房"/>
      <sheetName val="不动产比较法-合院"/>
      <sheetName val="不动产比较法-叠拼"/>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82147.51999999999</v>
          </cell>
          <cell r="C14">
            <v>34490.300000000003</v>
          </cell>
          <cell r="D14">
            <v>22376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8">
          <cell r="E8">
            <v>1408</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
      <sheetName val="剩余法-现房"/>
      <sheetName val="不动产比较法-合院"/>
      <sheetName val="不动产比较法-叠拼"/>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8">
          <cell r="C8">
            <v>14151</v>
          </cell>
          <cell r="D8">
            <v>12662</v>
          </cell>
        </row>
      </sheetData>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2983</v>
      </c>
      <c r="B1" s="3176"/>
      <c r="C1" s="3177"/>
      <c r="D1" s="3178"/>
      <c r="E1" s="3179" t="s">
        <v>2984</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2985</v>
      </c>
      <c r="B2" s="3188" t="e">
        <f ca="1">ROUND(D2/10000,0)</f>
        <v>#DIV/0!</v>
      </c>
      <c r="C2" s="3189" t="s">
        <v>2986</v>
      </c>
      <c r="D2" s="3190" t="e">
        <f ca="1">C40+J29+L46</f>
        <v>#DIV/0!</v>
      </c>
      <c r="E2" s="3191" t="s">
        <v>2987</v>
      </c>
      <c r="F2" s="3192"/>
      <c r="G2" s="3193"/>
      <c r="H2" s="3194"/>
      <c r="I2" s="3194"/>
      <c r="J2" s="3194"/>
      <c r="K2" s="3195"/>
      <c r="L2" s="3194"/>
      <c r="M2" s="3194"/>
    </row>
    <row r="3" spans="1:37" ht="18" customHeight="1" thickBot="1">
      <c r="A3" s="3198" t="s">
        <v>2988</v>
      </c>
      <c r="B3" s="3199">
        <f ca="1">IF(ISERROR(D2/F43),0,ROUND(D2/F43,0))</f>
        <v>0</v>
      </c>
      <c r="C3" s="3189" t="s">
        <v>2989</v>
      </c>
      <c r="D3" s="3189"/>
      <c r="E3" s="3191"/>
      <c r="F3" s="3192"/>
      <c r="G3" s="3193"/>
      <c r="H3" s="3200" t="s">
        <v>2990</v>
      </c>
      <c r="I3" s="3194"/>
      <c r="J3" s="3194"/>
      <c r="K3" s="3195"/>
      <c r="L3" s="3194"/>
      <c r="M3" s="3194"/>
    </row>
    <row r="4" spans="1:37" ht="18" customHeight="1">
      <c r="A4" s="3201" t="s">
        <v>2991</v>
      </c>
      <c r="B4" s="3202" t="s">
        <v>2992</v>
      </c>
      <c r="C4" s="3202" t="s">
        <v>2993</v>
      </c>
      <c r="D4" s="3202" t="s">
        <v>2994</v>
      </c>
      <c r="E4" s="3203" t="s">
        <v>2995</v>
      </c>
      <c r="F4" s="3204"/>
      <c r="G4" s="3205"/>
      <c r="H4" s="3201" t="s">
        <v>2996</v>
      </c>
      <c r="I4" s="3202" t="s">
        <v>2997</v>
      </c>
      <c r="J4" s="3202" t="s">
        <v>2998</v>
      </c>
      <c r="K4" s="3202" t="s">
        <v>2999</v>
      </c>
      <c r="L4" s="3203" t="s">
        <v>2995</v>
      </c>
      <c r="M4" s="3204"/>
    </row>
    <row r="5" spans="1:37" ht="18" customHeight="1">
      <c r="A5" s="3206">
        <v>1</v>
      </c>
      <c r="B5" s="3207" t="s">
        <v>3000</v>
      </c>
      <c r="C5" s="3208">
        <f ca="1">C6+C10+C12</f>
        <v>0</v>
      </c>
      <c r="D5" s="3209" t="s">
        <v>3001</v>
      </c>
      <c r="E5" s="3210"/>
      <c r="F5" s="3211"/>
      <c r="G5" s="3205"/>
      <c r="H5" s="3206">
        <v>1</v>
      </c>
      <c r="I5" s="3207" t="s">
        <v>3000</v>
      </c>
      <c r="J5" s="3208">
        <f ca="1">J6+J10+J12</f>
        <v>0</v>
      </c>
      <c r="K5" s="3209" t="s">
        <v>3001</v>
      </c>
      <c r="L5" s="3210"/>
      <c r="M5" s="3211"/>
    </row>
    <row r="6" spans="1:37" ht="18" customHeight="1">
      <c r="A6" s="3212" t="s">
        <v>3002</v>
      </c>
      <c r="B6" s="3487" t="s">
        <v>3003</v>
      </c>
      <c r="C6" s="3213">
        <f ca="1">ROUND(F6*F8*F7*(1-F9),0)</f>
        <v>0</v>
      </c>
      <c r="D6" s="3214" t="s">
        <v>3004</v>
      </c>
      <c r="E6" s="3215" t="s">
        <v>3005</v>
      </c>
      <c r="F6" s="3216">
        <f ca="1">INDIRECT("'数据-取费表'!u"&amp;$G$1)</f>
        <v>0</v>
      </c>
      <c r="G6" s="3205"/>
      <c r="H6" s="3212" t="s">
        <v>3002</v>
      </c>
      <c r="I6" s="3487" t="s">
        <v>3003</v>
      </c>
      <c r="J6" s="3217">
        <f ca="1">ROUND(M6*M8*M7*(1-M9),0)</f>
        <v>0</v>
      </c>
      <c r="K6" s="3218" t="s">
        <v>3006</v>
      </c>
      <c r="L6" s="3215" t="s">
        <v>3005</v>
      </c>
      <c r="M6" s="3216">
        <f ca="1">INDIRECT("'数据-取费表'!z"&amp;$G$1)</f>
        <v>0</v>
      </c>
    </row>
    <row r="7" spans="1:37" ht="18" customHeight="1">
      <c r="A7" s="3219"/>
      <c r="B7" s="3488"/>
      <c r="C7" s="3220"/>
      <c r="D7" s="3221"/>
      <c r="E7" s="3222" t="s">
        <v>3007</v>
      </c>
      <c r="F7" s="3216">
        <f ca="1">IF(INDIRECT("'数据-取费表'!ah"&amp;$G$1)="",INDIRECT("'数据-取费表'!k"&amp;$G$1),INDIRECT("'数据-取费表'!ah"&amp;$G$1))</f>
        <v>4473.92</v>
      </c>
      <c r="G7" s="3205"/>
      <c r="H7" s="3223"/>
      <c r="I7" s="3488"/>
      <c r="J7" s="3224"/>
      <c r="K7" s="3221"/>
      <c r="L7" s="3215" t="s">
        <v>3007</v>
      </c>
      <c r="M7" s="3216">
        <f ca="1">F7</f>
        <v>4473.92</v>
      </c>
    </row>
    <row r="8" spans="1:37" ht="18" customHeight="1">
      <c r="A8" s="3223"/>
      <c r="B8" s="3488"/>
      <c r="C8" s="3224"/>
      <c r="D8" s="3221"/>
      <c r="E8" s="3215" t="s">
        <v>3008</v>
      </c>
      <c r="F8" s="3216">
        <f ca="1">INDIRECT("'数据-取费表'!ai"&amp;$G$1)</f>
        <v>0</v>
      </c>
      <c r="G8" s="3205"/>
      <c r="H8" s="3223"/>
      <c r="I8" s="3488"/>
      <c r="J8" s="3224"/>
      <c r="K8" s="3221"/>
      <c r="L8" s="3215" t="s">
        <v>3008</v>
      </c>
      <c r="M8" s="3216">
        <f ca="1">INDIRECT("'数据-取费表'!ai"&amp;$G$1)</f>
        <v>0</v>
      </c>
    </row>
    <row r="9" spans="1:37" ht="18" customHeight="1">
      <c r="A9" s="3223"/>
      <c r="B9" s="3489"/>
      <c r="C9" s="3224"/>
      <c r="D9" s="3221"/>
      <c r="E9" s="3215" t="s">
        <v>3009</v>
      </c>
      <c r="F9" s="3225">
        <f ca="1">INDIRECT("'数据-取费表'!w"&amp;$G$1)</f>
        <v>0</v>
      </c>
      <c r="G9" s="3205"/>
      <c r="H9" s="3223"/>
      <c r="I9" s="3489"/>
      <c r="J9" s="3224"/>
      <c r="K9" s="3221"/>
      <c r="L9" s="3226" t="s">
        <v>3009</v>
      </c>
      <c r="M9" s="3227">
        <f ca="1">INDIRECT("'数据-取费表'!ab"&amp;$G$1)</f>
        <v>0</v>
      </c>
    </row>
    <row r="10" spans="1:37" ht="18" customHeight="1">
      <c r="A10" s="3212" t="s">
        <v>3010</v>
      </c>
      <c r="B10" s="3228" t="s">
        <v>3011</v>
      </c>
      <c r="C10" s="3229">
        <f>ROUND(IF(F10="押一",F6*F8*F7/12*F11,IF(F10="押二",F6*F8*F7/12*2*F11,IF(F10="押三",F6*F8*F7/12*3*F11,C11*F11))),0)</f>
        <v>0</v>
      </c>
      <c r="D10" s="3230" t="s">
        <v>3012</v>
      </c>
      <c r="E10" s="3226" t="s">
        <v>3013</v>
      </c>
      <c r="F10" s="3231"/>
      <c r="G10" s="3205"/>
      <c r="H10" s="3212" t="s">
        <v>3010</v>
      </c>
      <c r="I10" s="3228" t="s">
        <v>3011</v>
      </c>
      <c r="J10" s="3217">
        <f>ROUND(IF(M10="押一",M6*M8*M7/12*M11,IF(M10="押二",M6*M8*M7/12*2*M11,IF(M10="押三",M6*M8*M7/12*3*M11,J11*M11))),0)</f>
        <v>0</v>
      </c>
      <c r="K10" s="3232" t="s">
        <v>3014</v>
      </c>
      <c r="L10" s="3226" t="s">
        <v>3013</v>
      </c>
      <c r="M10" s="3231"/>
    </row>
    <row r="11" spans="1:37" ht="18" customHeight="1">
      <c r="A11" s="3233"/>
      <c r="B11" s="3234" t="s">
        <v>3015</v>
      </c>
      <c r="C11" s="3235"/>
      <c r="D11" s="3221"/>
      <c r="E11" s="3226" t="s">
        <v>3016</v>
      </c>
      <c r="F11" s="3227">
        <f>'[1]数据-取费表'!B39</f>
        <v>0</v>
      </c>
      <c r="G11" s="3205"/>
      <c r="H11" s="3236"/>
      <c r="I11" s="3234" t="s">
        <v>3017</v>
      </c>
      <c r="J11" s="3235"/>
      <c r="K11" s="3237"/>
      <c r="L11" s="3226" t="s">
        <v>3016</v>
      </c>
      <c r="M11" s="3238">
        <f>'[1]数据-取费表'!B39</f>
        <v>0</v>
      </c>
    </row>
    <row r="12" spans="1:37" ht="18" customHeight="1" thickBot="1">
      <c r="A12" s="3239" t="s">
        <v>3018</v>
      </c>
      <c r="B12" s="3240" t="s">
        <v>3019</v>
      </c>
      <c r="C12" s="3241"/>
      <c r="D12" s="3242"/>
      <c r="E12" s="3243"/>
      <c r="F12" s="3244"/>
      <c r="G12" s="3205"/>
      <c r="H12" s="3239" t="s">
        <v>3018</v>
      </c>
      <c r="I12" s="3240" t="s">
        <v>3019</v>
      </c>
      <c r="J12" s="3241"/>
      <c r="K12" s="3245"/>
      <c r="L12" s="3243"/>
      <c r="M12" s="3246"/>
    </row>
    <row r="13" spans="1:37" ht="18" customHeight="1" thickTop="1">
      <c r="A13" s="3247">
        <v>2</v>
      </c>
      <c r="B13" s="3248" t="s">
        <v>3020</v>
      </c>
      <c r="C13" s="3249">
        <f ca="1">ROUND(C29*F13,0)</f>
        <v>0</v>
      </c>
      <c r="D13" s="3250" t="s">
        <v>3021</v>
      </c>
      <c r="E13" s="3250" t="s">
        <v>3022</v>
      </c>
      <c r="F13" s="3251">
        <f ca="1">INDIRECT("'数据-取费表'!y"&amp;$G$1)</f>
        <v>0</v>
      </c>
      <c r="G13" s="3205"/>
      <c r="H13" s="3247">
        <v>2</v>
      </c>
      <c r="I13" s="3248" t="s">
        <v>3020</v>
      </c>
      <c r="J13" s="3252">
        <f ca="1">ROUND(J14*J15,0)</f>
        <v>0</v>
      </c>
      <c r="K13" s="3253" t="s">
        <v>3021</v>
      </c>
      <c r="L13" s="3254"/>
      <c r="M13" s="3255"/>
    </row>
    <row r="14" spans="1:37" ht="18" customHeight="1">
      <c r="A14" s="3256" t="s">
        <v>3023</v>
      </c>
      <c r="B14" s="3215" t="s">
        <v>3024</v>
      </c>
      <c r="C14" s="3257">
        <f ca="1">ROUND(INDIRECT("'数据-取费表'!l"&amp;$G$1)*F43+'[1]数据-取费表'!L14*INDIRECT("'数据-取费表'!S"&amp;$G$1),0)</f>
        <v>8947840</v>
      </c>
      <c r="D14" s="3258" t="s">
        <v>3025</v>
      </c>
      <c r="E14" s="3259"/>
      <c r="F14" s="3260"/>
      <c r="G14" s="3205"/>
      <c r="H14" s="3256" t="s">
        <v>3026</v>
      </c>
      <c r="I14" s="3215" t="s">
        <v>3027</v>
      </c>
      <c r="J14" s="3261">
        <f ca="1">C29</f>
        <v>11184800</v>
      </c>
      <c r="K14" s="3262"/>
      <c r="L14" s="3263"/>
      <c r="M14" s="3264"/>
    </row>
    <row r="15" spans="1:37" s="3273" customFormat="1" ht="18" customHeight="1" thickBot="1">
      <c r="A15" s="3256" t="s">
        <v>3028</v>
      </c>
      <c r="B15" s="3215" t="s">
        <v>3029</v>
      </c>
      <c r="C15" s="3261">
        <f ca="1">ROUND(C14*F15,0)</f>
        <v>0</v>
      </c>
      <c r="D15" s="3265" t="s">
        <v>3030</v>
      </c>
      <c r="E15" s="3265" t="s">
        <v>3031</v>
      </c>
      <c r="F15" s="3266">
        <f>'[1]数据-取费表'!B33</f>
        <v>0</v>
      </c>
      <c r="G15" s="3267"/>
      <c r="H15" s="3268" t="s">
        <v>3010</v>
      </c>
      <c r="I15" s="3243" t="s">
        <v>3022</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3032</v>
      </c>
      <c r="B16" s="3215" t="s">
        <v>3033</v>
      </c>
      <c r="C16" s="3261">
        <f ca="1">ROUND(INDIRECT("'数据-取费表'!l"&amp;$G$1)*F43*F16,0)</f>
        <v>0</v>
      </c>
      <c r="D16" s="3215" t="s">
        <v>3034</v>
      </c>
      <c r="E16" s="3215" t="s">
        <v>3035</v>
      </c>
      <c r="F16" s="3274">
        <f ca="1">IF(INDIRECT("'数据-取费表'!c"&amp;$G$1)="住宅",'[1]数据-取费表'!B34,0)</f>
        <v>0</v>
      </c>
      <c r="G16" s="3205"/>
      <c r="H16" s="3247" t="s">
        <v>3036</v>
      </c>
      <c r="I16" s="3248" t="s">
        <v>3037</v>
      </c>
      <c r="J16" s="3249">
        <f ca="1">ROUND(J17+J22+J23+J24,0)</f>
        <v>93952</v>
      </c>
      <c r="K16" s="3253" t="s">
        <v>3038</v>
      </c>
      <c r="L16" s="3275"/>
      <c r="M16" s="3211"/>
    </row>
    <row r="17" spans="1:37" s="3273" customFormat="1" ht="18" customHeight="1">
      <c r="A17" s="3256" t="s">
        <v>3039</v>
      </c>
      <c r="B17" s="3215" t="s">
        <v>3040</v>
      </c>
      <c r="C17" s="3261">
        <f ca="1">ROUND(F17*(F43+INDIRECT("'数据-取费表'!S"&amp;$G$1)),0)</f>
        <v>0</v>
      </c>
      <c r="D17" s="3215" t="s">
        <v>3041</v>
      </c>
      <c r="E17" s="3215" t="s">
        <v>3042</v>
      </c>
      <c r="F17" s="3276">
        <f>'[1]数据-取费表'!B35</f>
        <v>0</v>
      </c>
      <c r="G17" s="3267"/>
      <c r="H17" s="3256" t="s">
        <v>3002</v>
      </c>
      <c r="I17" s="3215" t="s">
        <v>3043</v>
      </c>
      <c r="J17" s="3261">
        <f ca="1">ROUND(IF([1]项目基本情况!B11="自然人",J5*M17,J18+J19+J20),0)</f>
        <v>93952</v>
      </c>
      <c r="K17" s="3258" t="s">
        <v>3044</v>
      </c>
      <c r="L17" s="3277" t="s">
        <v>3045</v>
      </c>
      <c r="M17" s="3278">
        <f ca="1">IF([1]项目基本情况!B11="企业","",IF(INDIRECT("'数据-取费表'!c"&amp;$G$1)="住宅",5%,IF(M6*M7*M8/12/(1+'[1]数据-取费表'!C42)&gt;20000,12%,7%)))</f>
        <v>0.05</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3046</v>
      </c>
      <c r="B18" s="3215" t="s">
        <v>3047</v>
      </c>
      <c r="C18" s="3261">
        <f ca="1">ROUND(C14*F18,0)</f>
        <v>0</v>
      </c>
      <c r="D18" s="3215" t="s">
        <v>3030</v>
      </c>
      <c r="E18" s="3215" t="s">
        <v>3031</v>
      </c>
      <c r="F18" s="3274">
        <f>'[1]数据-取费表'!B36</f>
        <v>0</v>
      </c>
      <c r="G18" s="3267"/>
      <c r="H18" s="3256" t="s">
        <v>3023</v>
      </c>
      <c r="I18" s="3215" t="s">
        <v>3048</v>
      </c>
      <c r="J18" s="3261">
        <f ca="1">ROUND(J5*M18/(1+'[1]数据-取费表'!C42),0)</f>
        <v>0</v>
      </c>
      <c r="K18" s="3277" t="s">
        <v>3049</v>
      </c>
      <c r="L18" s="3215" t="s">
        <v>3035</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3026</v>
      </c>
      <c r="B19" s="3215" t="s">
        <v>3050</v>
      </c>
      <c r="C19" s="3261">
        <f ca="1">SUM(C14:C18)</f>
        <v>8947840</v>
      </c>
      <c r="D19" s="3279" t="s">
        <v>3051</v>
      </c>
      <c r="E19" s="3280"/>
      <c r="F19" s="3276"/>
      <c r="G19" s="3205"/>
      <c r="H19" s="3256" t="s">
        <v>3028</v>
      </c>
      <c r="I19" s="3215" t="s">
        <v>3052</v>
      </c>
      <c r="J19" s="3261">
        <f ca="1">IF(K19="按租金收入计税",ROUND(J5*M19,0),ROUND(C29*M19*0.7,0))</f>
        <v>93952</v>
      </c>
      <c r="K19" s="3281" t="s">
        <v>3053</v>
      </c>
      <c r="L19" s="3215" t="s">
        <v>3031</v>
      </c>
      <c r="M19" s="3274">
        <f>IF(K19="按租金收入计税",'[1]数据-取费表'!B51,'[1]数据-取费表'!B50)</f>
        <v>1.2E-2</v>
      </c>
    </row>
    <row r="20" spans="1:37" s="3273" customFormat="1" ht="18" customHeight="1">
      <c r="A20" s="3256" t="s">
        <v>3010</v>
      </c>
      <c r="B20" s="3215" t="s">
        <v>3054</v>
      </c>
      <c r="C20" s="3261">
        <f ca="1">ROUND(C19*F20,0)</f>
        <v>0</v>
      </c>
      <c r="D20" s="3282" t="s">
        <v>3055</v>
      </c>
      <c r="E20" s="3215" t="s">
        <v>3031</v>
      </c>
      <c r="F20" s="3274">
        <f>'[1]数据-取费表'!B37</f>
        <v>0</v>
      </c>
      <c r="G20" s="3267"/>
      <c r="H20" s="3256" t="s">
        <v>3032</v>
      </c>
      <c r="I20" s="3214" t="s">
        <v>3056</v>
      </c>
      <c r="J20" s="3283">
        <f ca="1">ROUND(M20*M21,0)</f>
        <v>0</v>
      </c>
      <c r="K20" s="3284" t="s">
        <v>3057</v>
      </c>
      <c r="L20" s="3215" t="s">
        <v>3058</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3018</v>
      </c>
      <c r="B21" s="3215" t="s">
        <v>3059</v>
      </c>
      <c r="C21" s="3261" t="s">
        <v>3060</v>
      </c>
      <c r="D21" s="3282" t="s">
        <v>3061</v>
      </c>
      <c r="E21" s="3215" t="s">
        <v>3062</v>
      </c>
      <c r="F21" s="3274">
        <f>'[1]数据-取费表'!B38</f>
        <v>0</v>
      </c>
      <c r="G21" s="3267"/>
      <c r="H21" s="3286"/>
      <c r="I21" s="3287"/>
      <c r="J21" s="3288"/>
      <c r="K21" s="3289"/>
      <c r="L21" s="3215" t="s">
        <v>3063</v>
      </c>
      <c r="M21" s="3216">
        <f ca="1">INDIRECT("'数据-取费表'!r"&amp;$G$1)</f>
        <v>1896.19</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3064</v>
      </c>
      <c r="B22" s="3215" t="s">
        <v>3065</v>
      </c>
      <c r="C22" s="3261"/>
      <c r="D22" s="3279" t="str">
        <f>IF(F23&lt;=1,"单利计息。","复利计息。")&amp;"建造成本、管理费用、销售费用产生的利息。"</f>
        <v>单利计息。建造成本、管理费用、销售费用产生的利息。</v>
      </c>
      <c r="E22" s="3280"/>
      <c r="F22" s="3276"/>
      <c r="G22" s="3205"/>
      <c r="H22" s="3256" t="s">
        <v>3010</v>
      </c>
      <c r="I22" s="3215" t="s">
        <v>3066</v>
      </c>
      <c r="J22" s="3261">
        <f ca="1">ROUND(J14*M22,0)</f>
        <v>0</v>
      </c>
      <c r="K22" s="3277" t="s">
        <v>3067</v>
      </c>
      <c r="L22" s="3215" t="s">
        <v>3031</v>
      </c>
      <c r="M22" s="3290">
        <f ca="1">INDIRECT("'数据-取费表'!Ak"&amp;$G$1)</f>
        <v>0</v>
      </c>
    </row>
    <row r="23" spans="1:37" s="3273" customFormat="1" ht="18" customHeight="1">
      <c r="A23" s="3256" t="s">
        <v>3023</v>
      </c>
      <c r="B23" s="3215" t="s">
        <v>3068</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3069</v>
      </c>
      <c r="F23" s="3285">
        <f>'[1]数据-取费表'!B20</f>
        <v>0</v>
      </c>
      <c r="G23" s="3267"/>
      <c r="H23" s="3256" t="s">
        <v>3018</v>
      </c>
      <c r="I23" s="3215" t="s">
        <v>3070</v>
      </c>
      <c r="J23" s="3261">
        <f ca="1">ROUND(J13*M23,0)</f>
        <v>0</v>
      </c>
      <c r="K23" s="3277" t="s">
        <v>3071</v>
      </c>
      <c r="L23" s="3215" t="s">
        <v>3031</v>
      </c>
      <c r="M23" s="3292">
        <f ca="1">INDIRECT("'数据-取费表'!Al"&amp;$G$1)</f>
        <v>0</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3072</v>
      </c>
      <c r="B24" s="3215" t="s">
        <v>3073</v>
      </c>
      <c r="C24" s="3261">
        <f>ROUND(IF('[1]数据-取费表'!B22&lt;=1,F21*F24*F23/2,F21*(POWER((1+F24),F23/2)-1)),4)</f>
        <v>0</v>
      </c>
      <c r="D24" s="3291" t="str">
        <f>IF(F23&lt;=1,"销售费用×利率×(建设周期÷2)","销售费用×((1+利率)^(建设周期÷2)-1)")</f>
        <v>销售费用×利率×(建设周期÷2)</v>
      </c>
      <c r="E24" s="3215" t="s">
        <v>3074</v>
      </c>
      <c r="F24" s="3293">
        <f>'[1]数据-取费表'!B40</f>
        <v>0</v>
      </c>
      <c r="G24" s="3267"/>
      <c r="H24" s="3268" t="s">
        <v>3064</v>
      </c>
      <c r="I24" s="3243" t="s">
        <v>3054</v>
      </c>
      <c r="J24" s="3294">
        <f ca="1">ROUND(J5*M24,0)</f>
        <v>0</v>
      </c>
      <c r="K24" s="3295" t="s">
        <v>3075</v>
      </c>
      <c r="L24" s="3243" t="s">
        <v>3031</v>
      </c>
      <c r="M24" s="3244">
        <f ca="1">INDIRECT("'数据-取费表'!Am"&amp;$G$1)</f>
        <v>0</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3076</v>
      </c>
      <c r="B25" s="3215" t="s">
        <v>3077</v>
      </c>
      <c r="C25" s="3261"/>
      <c r="D25" s="3279" t="s">
        <v>3078</v>
      </c>
      <c r="E25" s="3280"/>
      <c r="F25" s="3276"/>
      <c r="G25" s="3205"/>
      <c r="H25" s="3247" t="s">
        <v>3079</v>
      </c>
      <c r="I25" s="3296" t="s">
        <v>3080</v>
      </c>
      <c r="J25" s="3249">
        <f ca="1">J5-J16</f>
        <v>-93952</v>
      </c>
      <c r="K25" s="3297" t="s">
        <v>3081</v>
      </c>
      <c r="L25" s="3298"/>
      <c r="M25" s="3299"/>
    </row>
    <row r="26" spans="1:37" ht="18" customHeight="1">
      <c r="A26" s="3256" t="s">
        <v>3023</v>
      </c>
      <c r="B26" s="3215" t="s">
        <v>3082</v>
      </c>
      <c r="C26" s="3261">
        <f ca="1">ROUND((C19+C20)*F26,0)</f>
        <v>2236960</v>
      </c>
      <c r="D26" s="3282" t="s">
        <v>3083</v>
      </c>
      <c r="E26" s="3226" t="s">
        <v>3084</v>
      </c>
      <c r="F26" s="3225">
        <f ca="1">INDIRECT("'数据-取费表'!q"&amp;$G$1)</f>
        <v>0.25</v>
      </c>
      <c r="G26" s="3205"/>
      <c r="H26" s="3206" t="s">
        <v>3085</v>
      </c>
      <c r="I26" s="3207" t="s">
        <v>3086</v>
      </c>
      <c r="J26" s="3217">
        <f ca="1">IF(J5&lt;&gt;0,ROUND(J25*(1-((1+M28)/(1+M26))^M27)/(M26-M28),0),0)</f>
        <v>0</v>
      </c>
      <c r="K26" s="3284" t="s">
        <v>3087</v>
      </c>
      <c r="L26" s="3215" t="s">
        <v>3088</v>
      </c>
      <c r="M26" s="3225">
        <f ca="1">INDIRECT("'数据-取费表'!I"&amp;$G$1)</f>
        <v>0.05</v>
      </c>
    </row>
    <row r="27" spans="1:37" ht="18" customHeight="1">
      <c r="A27" s="3256" t="s">
        <v>3072</v>
      </c>
      <c r="B27" s="3215" t="s">
        <v>3089</v>
      </c>
      <c r="C27" s="3261">
        <f ca="1">ROUND(F21*F26,4)</f>
        <v>0</v>
      </c>
      <c r="D27" s="3282" t="s">
        <v>3090</v>
      </c>
      <c r="E27" s="3265"/>
      <c r="F27" s="3266"/>
      <c r="G27" s="3205"/>
      <c r="H27" s="3223"/>
      <c r="I27" s="3300"/>
      <c r="J27" s="3224"/>
      <c r="K27" s="3301" t="s">
        <v>3091</v>
      </c>
      <c r="L27" s="3215" t="s">
        <v>3092</v>
      </c>
      <c r="M27" s="3302">
        <f ca="1">INDIRECT("'数据-取费表'!ag"&amp;$G$1)</f>
        <v>0</v>
      </c>
    </row>
    <row r="28" spans="1:37" s="3273" customFormat="1" ht="18" customHeight="1">
      <c r="A28" s="3256" t="s">
        <v>3093</v>
      </c>
      <c r="B28" s="3215" t="s">
        <v>3094</v>
      </c>
      <c r="C28" s="3261">
        <f>ROUND(F28/(1+'[1]数据-取费表'!C42),4)</f>
        <v>0</v>
      </c>
      <c r="D28" s="3282" t="s">
        <v>3095</v>
      </c>
      <c r="E28" s="3215" t="s">
        <v>3031</v>
      </c>
      <c r="F28" s="3274">
        <f>'[1]数据-取费表'!B41</f>
        <v>0</v>
      </c>
      <c r="G28" s="3267"/>
      <c r="H28" s="3233"/>
      <c r="I28" s="3303"/>
      <c r="J28" s="3249"/>
      <c r="K28" s="3289"/>
      <c r="L28" s="3215" t="s">
        <v>3096</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3097</v>
      </c>
      <c r="B29" s="3243" t="s">
        <v>3098</v>
      </c>
      <c r="C29" s="3294">
        <f ca="1">ROUND((C19+C20+C23+C26)/(1-F21-C24-C27-C28),0)</f>
        <v>11184800</v>
      </c>
      <c r="D29" s="3295"/>
      <c r="E29" s="3243"/>
      <c r="F29" s="3304"/>
      <c r="G29" s="3267"/>
      <c r="H29" s="3305" t="s">
        <v>3099</v>
      </c>
      <c r="I29" s="3306" t="s">
        <v>3100</v>
      </c>
      <c r="J29" s="3307">
        <f ca="1">ROUND(J26/(1+F40)^F41,0)</f>
        <v>0</v>
      </c>
      <c r="K29" s="3308" t="s">
        <v>3101</v>
      </c>
      <c r="L29" s="3309"/>
      <c r="M29" s="3310">
        <f ca="1">INDIRECT("'数据-取费表'!k"&amp;$G$1)</f>
        <v>4473.92</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3102</v>
      </c>
      <c r="B30" s="3248" t="s">
        <v>3037</v>
      </c>
      <c r="C30" s="3249">
        <f ca="1">ROUND(C31+C36+C37+C38,0)</f>
        <v>93952</v>
      </c>
      <c r="D30" s="3253" t="s">
        <v>3038</v>
      </c>
      <c r="E30" s="3275"/>
      <c r="F30" s="3211"/>
      <c r="G30" s="3205"/>
      <c r="H30" s="3311"/>
      <c r="I30" s="3312"/>
      <c r="J30" s="3313"/>
      <c r="K30" s="3237"/>
      <c r="L30" s="3314"/>
      <c r="M30" s="3315"/>
    </row>
    <row r="31" spans="1:37" ht="18" customHeight="1">
      <c r="A31" s="3256" t="s">
        <v>3002</v>
      </c>
      <c r="B31" s="3215" t="s">
        <v>3043</v>
      </c>
      <c r="C31" s="3261">
        <f ca="1">ROUND(IF([1]项目基本情况!B11="自然人",C5*F31,C32+C33+C34),0)</f>
        <v>93952</v>
      </c>
      <c r="D31" s="3258" t="s">
        <v>3044</v>
      </c>
      <c r="E31" s="3277" t="s">
        <v>3045</v>
      </c>
      <c r="F31" s="3278">
        <f ca="1">IF([1]项目基本情况!B11="企业","",IF(INDIRECT("'数据-取费表'!c"&amp;$G$1)="住宅",5%,IF(F6*F7*F8/12/(1+'[1]数据-取费表'!C42)&gt;20000,12%,7%)))</f>
        <v>0.05</v>
      </c>
      <c r="G31" s="3205"/>
      <c r="H31" s="3311"/>
      <c r="I31" s="3312"/>
      <c r="J31" s="3313"/>
      <c r="K31" s="3237"/>
      <c r="L31" s="3314"/>
      <c r="M31" s="3315"/>
    </row>
    <row r="32" spans="1:37" ht="18" customHeight="1">
      <c r="A32" s="3256" t="s">
        <v>3023</v>
      </c>
      <c r="B32" s="3215" t="s">
        <v>3103</v>
      </c>
      <c r="C32" s="3261">
        <f ca="1">IF([1]项目基本情况!B11="自然人","——",ROUND(C5*F32/(1+'[1]数据-取费表'!C42),0))</f>
        <v>0</v>
      </c>
      <c r="D32" s="3277" t="s">
        <v>3104</v>
      </c>
      <c r="E32" s="3215" t="s">
        <v>3031</v>
      </c>
      <c r="F32" s="3293">
        <f>'[1]数据-取费表'!B41</f>
        <v>0</v>
      </c>
      <c r="G32" s="3205"/>
      <c r="H32" s="3311"/>
      <c r="I32" s="3312"/>
      <c r="J32" s="3313"/>
      <c r="K32" s="3237"/>
      <c r="L32" s="3314"/>
      <c r="M32" s="3315"/>
    </row>
    <row r="33" spans="1:18" ht="18" customHeight="1">
      <c r="A33" s="3256" t="s">
        <v>3072</v>
      </c>
      <c r="B33" s="3215" t="s">
        <v>3052</v>
      </c>
      <c r="C33" s="3261">
        <f ca="1">IF([1]项目基本情况!B11="自然人","——",IF(D33="按租金收入计税",ROUND(C5*F33,0),IF(D33="按房产原值计税",ROUND(C29*F33*0.7,0),INDIRECT("'数据-取费表'!Aj"&amp;$G$1))))</f>
        <v>93952</v>
      </c>
      <c r="D33" s="3281" t="s">
        <v>3053</v>
      </c>
      <c r="E33" s="3215" t="s">
        <v>3031</v>
      </c>
      <c r="F33" s="3274">
        <f>IF(D33="按票据","——",IF(D33="按租金收入计税",'[1]数据-取费表'!B51,'[1]数据-取费表'!B50))</f>
        <v>1.2E-2</v>
      </c>
      <c r="G33" s="3205"/>
      <c r="H33" s="3316"/>
      <c r="I33" s="3317"/>
      <c r="J33" s="3318"/>
      <c r="K33" s="3319"/>
      <c r="L33" s="3316"/>
      <c r="M33" s="3316"/>
    </row>
    <row r="34" spans="1:18" ht="18" customHeight="1">
      <c r="A34" s="3212" t="s">
        <v>3032</v>
      </c>
      <c r="B34" s="3214" t="s">
        <v>3056</v>
      </c>
      <c r="C34" s="3283">
        <f ca="1">IF([1]项目基本情况!B11="自然人","——",ROUND(F34*F35,))</f>
        <v>0</v>
      </c>
      <c r="D34" s="3284" t="s">
        <v>3057</v>
      </c>
      <c r="E34" s="3215" t="s">
        <v>3058</v>
      </c>
      <c r="F34" s="3285">
        <f>'[1]数据-取费表'!B52</f>
        <v>0</v>
      </c>
      <c r="G34" s="3205"/>
      <c r="H34" s="3311"/>
      <c r="I34" s="3317"/>
      <c r="J34" s="3318"/>
      <c r="K34" s="3320"/>
      <c r="L34" s="3321"/>
      <c r="M34" s="3321"/>
    </row>
    <row r="35" spans="1:18" ht="18" customHeight="1">
      <c r="A35" s="3322"/>
      <c r="B35" s="3323"/>
      <c r="C35" s="3288"/>
      <c r="D35" s="3289"/>
      <c r="E35" s="3215" t="s">
        <v>3063</v>
      </c>
      <c r="F35" s="3216">
        <f ca="1">INDIRECT("'数据-取费表'!r"&amp;$G$1)</f>
        <v>1896.19</v>
      </c>
      <c r="G35" s="3205"/>
      <c r="H35" s="3311"/>
      <c r="I35" s="3317"/>
      <c r="J35" s="3318"/>
      <c r="K35" s="3319"/>
      <c r="L35" s="3316"/>
      <c r="M35" s="3316"/>
    </row>
    <row r="36" spans="1:18" ht="18" customHeight="1">
      <c r="A36" s="3324" t="s">
        <v>3010</v>
      </c>
      <c r="B36" s="3215" t="s">
        <v>3066</v>
      </c>
      <c r="C36" s="3261">
        <f ca="1">ROUND(C29*F36,0)</f>
        <v>0</v>
      </c>
      <c r="D36" s="3277" t="s">
        <v>3105</v>
      </c>
      <c r="E36" s="3215" t="s">
        <v>3031</v>
      </c>
      <c r="F36" s="3290">
        <f ca="1">INDIRECT("'数据-取费表'!Ak"&amp;$G$1)</f>
        <v>0</v>
      </c>
      <c r="G36" s="3205"/>
      <c r="H36" s="3316"/>
      <c r="I36" s="3317"/>
      <c r="J36" s="3318"/>
      <c r="K36" s="3325"/>
      <c r="L36" s="3316"/>
      <c r="M36" s="3316"/>
    </row>
    <row r="37" spans="1:18" ht="18" customHeight="1">
      <c r="A37" s="3256" t="s">
        <v>3018</v>
      </c>
      <c r="B37" s="3215" t="s">
        <v>3070</v>
      </c>
      <c r="C37" s="3261">
        <f ca="1">ROUND(C13*F37,0)</f>
        <v>0</v>
      </c>
      <c r="D37" s="3277" t="s">
        <v>3071</v>
      </c>
      <c r="E37" s="3215" t="s">
        <v>3031</v>
      </c>
      <c r="F37" s="3292">
        <f ca="1">INDIRECT("'数据-取费表'!Al"&amp;$G$1)</f>
        <v>0</v>
      </c>
      <c r="G37" s="3205"/>
      <c r="H37" s="3316"/>
      <c r="I37" s="3317"/>
      <c r="J37" s="3318"/>
      <c r="K37" s="3325"/>
      <c r="L37" s="3316"/>
      <c r="M37" s="3316"/>
    </row>
    <row r="38" spans="1:18" ht="18" customHeight="1" thickBot="1">
      <c r="A38" s="3268" t="s">
        <v>3064</v>
      </c>
      <c r="B38" s="3243" t="s">
        <v>3054</v>
      </c>
      <c r="C38" s="3294">
        <f ca="1">ROUND(C5*F38,1)</f>
        <v>0</v>
      </c>
      <c r="D38" s="3295" t="s">
        <v>3075</v>
      </c>
      <c r="E38" s="3243" t="s">
        <v>3031</v>
      </c>
      <c r="F38" s="3244">
        <f ca="1">INDIRECT("'数据-取费表'!Am"&amp;$G$1)</f>
        <v>0</v>
      </c>
      <c r="G38" s="3205"/>
      <c r="H38" s="3316"/>
      <c r="I38" s="3317"/>
      <c r="J38" s="3318"/>
      <c r="K38" s="3326"/>
      <c r="L38" s="3316"/>
      <c r="M38" s="3316"/>
    </row>
    <row r="39" spans="1:18" ht="24.6" customHeight="1" thickTop="1">
      <c r="A39" s="3247" t="s">
        <v>3079</v>
      </c>
      <c r="B39" s="3296" t="s">
        <v>3080</v>
      </c>
      <c r="C39" s="3249">
        <f ca="1">C5-C30</f>
        <v>-93952</v>
      </c>
      <c r="D39" s="3297" t="s">
        <v>3081</v>
      </c>
      <c r="E39" s="3298"/>
      <c r="F39" s="3299"/>
      <c r="G39" s="3205"/>
      <c r="H39" s="3316"/>
      <c r="I39" s="3317"/>
      <c r="J39" s="3318"/>
      <c r="K39" s="3326"/>
      <c r="L39" s="3316"/>
      <c r="M39" s="3316"/>
    </row>
    <row r="40" spans="1:18" ht="18" customHeight="1">
      <c r="A40" s="3206" t="s">
        <v>3085</v>
      </c>
      <c r="B40" s="3207" t="s">
        <v>3106</v>
      </c>
      <c r="C40" s="3217">
        <f ca="1">ROUND(C39*(1-((1+F42)/(1+F40))^F41)/(F40-F42),0)</f>
        <v>0</v>
      </c>
      <c r="D40" s="3284" t="s">
        <v>3087</v>
      </c>
      <c r="E40" s="3215" t="s">
        <v>3088</v>
      </c>
      <c r="F40" s="3225">
        <f ca="1">INDIRECT("'数据-取费表'!I"&amp;$G$1)</f>
        <v>0.05</v>
      </c>
      <c r="G40" s="3205"/>
      <c r="H40" s="3327"/>
      <c r="I40" s="3317"/>
      <c r="J40" s="3318"/>
      <c r="K40" s="3326"/>
      <c r="L40" s="3327"/>
      <c r="M40" s="3327"/>
    </row>
    <row r="41" spans="1:18" ht="18" customHeight="1">
      <c r="A41" s="3223"/>
      <c r="B41" s="3300"/>
      <c r="C41" s="3224"/>
      <c r="D41" s="3301" t="s">
        <v>3091</v>
      </c>
      <c r="E41" s="3215" t="s">
        <v>3092</v>
      </c>
      <c r="F41" s="3302">
        <f ca="1">IF(INDIRECT("'数据-取费表'!af"&amp;$G$1)=0,INDIRECT("'数据-取费表'!ae"&amp;$G$1),INDIRECT("'数据-取费表'!af"&amp;$G$1))</f>
        <v>0</v>
      </c>
      <c r="G41" s="3205"/>
      <c r="H41" s="3328"/>
      <c r="I41" s="3317"/>
      <c r="J41" s="3318"/>
      <c r="K41" s="3325"/>
      <c r="L41" s="3328"/>
      <c r="M41" s="3328"/>
    </row>
    <row r="42" spans="1:18" ht="18" customHeight="1">
      <c r="A42" s="3233"/>
      <c r="B42" s="3303"/>
      <c r="C42" s="3249"/>
      <c r="D42" s="3289"/>
      <c r="E42" s="3215" t="s">
        <v>3096</v>
      </c>
      <c r="F42" s="3225">
        <f ca="1">INDIRECT("'数据-取费表'!v"&amp;$G$1)</f>
        <v>0</v>
      </c>
      <c r="G42" s="3205"/>
      <c r="H42" s="3328"/>
      <c r="I42" s="3317"/>
      <c r="J42" s="3318"/>
      <c r="K42" s="3325"/>
      <c r="L42" s="3328"/>
      <c r="M42" s="3328"/>
    </row>
    <row r="43" spans="1:18" ht="18" customHeight="1" thickBot="1">
      <c r="A43" s="3305" t="s">
        <v>3099</v>
      </c>
      <c r="B43" s="3306" t="s">
        <v>3107</v>
      </c>
      <c r="C43" s="3307">
        <f ca="1">ROUND(C40/F43,0)</f>
        <v>0</v>
      </c>
      <c r="D43" s="3308" t="s">
        <v>3108</v>
      </c>
      <c r="E43" s="3309" t="s">
        <v>3109</v>
      </c>
      <c r="F43" s="3310">
        <f ca="1">INDIRECT("'数据-取费表'!k"&amp;$G$1)</f>
        <v>4473.92</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0</v>
      </c>
      <c r="D45" s="3333" t="s">
        <v>3110</v>
      </c>
      <c r="E45" s="3329"/>
      <c r="F45" s="3329"/>
      <c r="O45" s="3334" t="s">
        <v>3111</v>
      </c>
      <c r="P45" s="3327"/>
      <c r="Q45" s="3327"/>
      <c r="R45" s="3327"/>
    </row>
    <row r="46" spans="1:18" s="3196" customFormat="1" ht="13.5" thickBot="1">
      <c r="A46" s="3335" t="s">
        <v>3112</v>
      </c>
      <c r="C46" s="3336">
        <f ca="1">ROUND(C45/10000,0)</f>
        <v>0</v>
      </c>
      <c r="D46" s="3337" t="str">
        <f>C2</f>
        <v>万元</v>
      </c>
      <c r="I46" s="3338" t="s">
        <v>3113</v>
      </c>
      <c r="J46" s="3339"/>
      <c r="K46" s="3340"/>
      <c r="L46" s="3341" t="e">
        <f ca="1">IF(M47="住宅",0,IF(L48&gt;J51,L60,J60))</f>
        <v>#DIV/0!</v>
      </c>
      <c r="O46" s="3342" t="s">
        <v>3114</v>
      </c>
      <c r="P46" s="3343" t="s">
        <v>3115</v>
      </c>
      <c r="Q46" s="3344" t="s">
        <v>3116</v>
      </c>
      <c r="R46" s="3344" t="s">
        <v>3117</v>
      </c>
    </row>
    <row r="47" spans="1:18" s="3196" customFormat="1" ht="13.5" thickBot="1">
      <c r="A47" s="3345" t="s">
        <v>2996</v>
      </c>
      <c r="B47" s="3346" t="s">
        <v>2997</v>
      </c>
      <c r="C47" s="3346" t="s">
        <v>2998</v>
      </c>
      <c r="D47" s="3346" t="s">
        <v>2999</v>
      </c>
      <c r="E47" s="3347" t="s">
        <v>2995</v>
      </c>
      <c r="F47" s="3348"/>
      <c r="G47" s="3349"/>
      <c r="I47" s="3350" t="s">
        <v>3118</v>
      </c>
      <c r="J47" s="3351"/>
      <c r="K47" s="3352" t="s">
        <v>3119</v>
      </c>
      <c r="L47" s="3353">
        <f ca="1">INDIRECT("'数据-取费表'!d"&amp;$G$1)</f>
        <v>70</v>
      </c>
      <c r="M47" s="3354" t="str">
        <f>IF(ISNUMBER(FIND("住宅",C1)),"住宅","非住宅")</f>
        <v>非住宅</v>
      </c>
      <c r="O47" s="3355" t="s">
        <v>2384</v>
      </c>
      <c r="P47" s="3356" t="s">
        <v>3120</v>
      </c>
      <c r="Q47" s="3357">
        <f ca="1">C40+J29</f>
        <v>0</v>
      </c>
      <c r="R47" s="3357" t="s">
        <v>3121</v>
      </c>
    </row>
    <row r="48" spans="1:18" s="3196" customFormat="1" ht="28.5" thickBot="1">
      <c r="A48" s="3358" t="s">
        <v>3122</v>
      </c>
      <c r="B48" s="3207" t="s">
        <v>3000</v>
      </c>
      <c r="C48" s="3359">
        <f ca="1">C49+C53+C55</f>
        <v>0</v>
      </c>
      <c r="D48" s="3360"/>
      <c r="E48" s="3361"/>
      <c r="F48" s="3362"/>
      <c r="G48" s="3349"/>
      <c r="H48" s="3363"/>
      <c r="I48" s="3364" t="s">
        <v>3123</v>
      </c>
      <c r="J48" s="3365"/>
      <c r="K48" s="3366" t="s">
        <v>3124</v>
      </c>
      <c r="L48" s="3367">
        <f ca="1">INDIRECT("'数据-取费表'!f"&amp;$G$1)</f>
        <v>70</v>
      </c>
      <c r="O48" s="3355" t="s">
        <v>2386</v>
      </c>
      <c r="P48" s="3356" t="s">
        <v>3125</v>
      </c>
      <c r="Q48" s="3357" t="str">
        <f ca="1">J60</f>
        <v>0</v>
      </c>
      <c r="R48" s="3357" t="s">
        <v>3126</v>
      </c>
    </row>
    <row r="49" spans="1:18" s="3196" customFormat="1" ht="13.5" thickBot="1">
      <c r="A49" s="3368" t="s">
        <v>3127</v>
      </c>
      <c r="B49" s="3369" t="s">
        <v>3128</v>
      </c>
      <c r="C49" s="3370">
        <f ca="1">ROUND(F49*F51*F50*(1-F52),0)</f>
        <v>0</v>
      </c>
      <c r="D49" s="3371" t="s">
        <v>3129</v>
      </c>
      <c r="E49" s="3372" t="s">
        <v>3130</v>
      </c>
      <c r="F49" s="3373"/>
      <c r="G49" s="3374"/>
      <c r="H49" s="3363"/>
      <c r="I49" s="3364" t="s">
        <v>3131</v>
      </c>
      <c r="J49" s="3375"/>
      <c r="K49" s="3366" t="s">
        <v>3132</v>
      </c>
      <c r="L49" s="3376"/>
      <c r="O49" s="3377" t="s">
        <v>2388</v>
      </c>
      <c r="P49" s="3356" t="s">
        <v>3133</v>
      </c>
      <c r="Q49" s="3357">
        <f ca="1">C29</f>
        <v>11184800</v>
      </c>
      <c r="R49" s="3357" t="s">
        <v>3121</v>
      </c>
    </row>
    <row r="50" spans="1:18" s="3196" customFormat="1" ht="13.5" thickBot="1">
      <c r="A50" s="3378"/>
      <c r="B50" s="3379"/>
      <c r="C50" s="3380"/>
      <c r="D50" s="3381"/>
      <c r="E50" s="3382" t="s">
        <v>3007</v>
      </c>
      <c r="F50" s="3383">
        <f ca="1">F7</f>
        <v>4473.92</v>
      </c>
      <c r="H50" s="3363"/>
      <c r="I50" s="3364" t="s">
        <v>3134</v>
      </c>
      <c r="J50" s="3384">
        <f>SUMPRODUCT((I63:I65=J47)*(J62:L62=J48)*(J63:L65))</f>
        <v>0</v>
      </c>
      <c r="K50" s="3366" t="s">
        <v>3135</v>
      </c>
      <c r="L50" s="3376"/>
      <c r="M50" s="3385"/>
      <c r="O50" s="3377" t="s">
        <v>2389</v>
      </c>
      <c r="P50" s="3356" t="s">
        <v>3136</v>
      </c>
      <c r="Q50" s="3386" t="e">
        <f ca="1">J58</f>
        <v>#VALUE!</v>
      </c>
      <c r="R50" s="3357"/>
    </row>
    <row r="51" spans="1:18" s="3196" customFormat="1" ht="13.5" thickBot="1">
      <c r="A51" s="3387"/>
      <c r="B51" s="3379"/>
      <c r="C51" s="3380"/>
      <c r="D51" s="3381"/>
      <c r="E51" s="3388" t="s">
        <v>3008</v>
      </c>
      <c r="F51" s="3216">
        <f ca="1">F8</f>
        <v>0</v>
      </c>
      <c r="I51" s="3389" t="s">
        <v>3137</v>
      </c>
      <c r="J51" s="3390">
        <f>IF(J49="",J50,J49+J50-YEAR('[1]数据-取费表'!B2))</f>
        <v>0</v>
      </c>
      <c r="K51" s="3391" t="s">
        <v>3138</v>
      </c>
      <c r="L51" s="3392">
        <f ca="1">ROUND(-PV(INDIRECT("'数据-取费表'!h"&amp;$G$1),L48,(C39-C13*C76),0),0)</f>
        <v>-1991981</v>
      </c>
      <c r="M51" s="3393"/>
      <c r="O51" s="3377" t="s">
        <v>2391</v>
      </c>
      <c r="P51" s="3356" t="s">
        <v>3139</v>
      </c>
      <c r="Q51" s="3386">
        <f>J52</f>
        <v>0</v>
      </c>
      <c r="R51" s="3357"/>
    </row>
    <row r="52" spans="1:18" s="3196" customFormat="1" ht="13.5" thickBot="1">
      <c r="A52" s="3387"/>
      <c r="B52" s="3379"/>
      <c r="C52" s="3380"/>
      <c r="D52" s="3381"/>
      <c r="E52" s="3388" t="s">
        <v>3009</v>
      </c>
      <c r="F52" s="3394"/>
      <c r="I52" s="3395" t="s">
        <v>3140</v>
      </c>
      <c r="J52" s="3396"/>
      <c r="K52" s="3395" t="s">
        <v>3141</v>
      </c>
      <c r="L52" s="3396"/>
      <c r="O52" s="3377" t="s">
        <v>2393</v>
      </c>
      <c r="P52" s="3356" t="s">
        <v>3142</v>
      </c>
      <c r="Q52" s="3357" t="b">
        <f>J53</f>
        <v>0</v>
      </c>
      <c r="R52" s="3357" t="s">
        <v>3143</v>
      </c>
    </row>
    <row r="53" spans="1:18" s="3196" customFormat="1" ht="30.75" customHeight="1" thickBot="1">
      <c r="A53" s="3397" t="s">
        <v>3144</v>
      </c>
      <c r="B53" s="3282" t="s">
        <v>3011</v>
      </c>
      <c r="C53" s="3229">
        <f>ROUND(IF(F53="押一",F49*F51*F50/12*F11,IF(F53="押二",F49*F51*F50/12*2*F11,IF(F53="押三",F49*F51*F50/12*3*F11,C54*F11))),0)</f>
        <v>0</v>
      </c>
      <c r="D53" s="3230" t="s">
        <v>3145</v>
      </c>
      <c r="E53" s="3226" t="s">
        <v>3013</v>
      </c>
      <c r="F53" s="3231"/>
      <c r="I53" s="3398" t="s">
        <v>3146</v>
      </c>
      <c r="J53" s="3399" t="b">
        <f>IF(M47="住宅",J51,IF(D1="——",MIN(J51,L48),IF(D1="在建（套用方法）",MIN(J51,L48-'[1]数据-取费表'!B24),IF(D1="土地（套用方法）",MIN(J51,L48-'[1]数据-取费表'!B20)))))</f>
        <v>0</v>
      </c>
      <c r="K53" s="3490" t="s">
        <v>3147</v>
      </c>
      <c r="L53" s="3491"/>
      <c r="O53" s="3355" t="s">
        <v>2396</v>
      </c>
      <c r="P53" s="3356" t="s">
        <v>3148</v>
      </c>
      <c r="Q53" s="3357">
        <f ca="1">Q47+Q48</f>
        <v>0</v>
      </c>
      <c r="R53" s="3357" t="s">
        <v>2397</v>
      </c>
    </row>
    <row r="54" spans="1:18" s="3196" customFormat="1" ht="13.5" thickBot="1">
      <c r="A54" s="3368"/>
      <c r="B54" s="3400" t="s">
        <v>3017</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3149</v>
      </c>
      <c r="P54" s="3327"/>
      <c r="Q54" s="3327"/>
      <c r="R54" s="3327"/>
    </row>
    <row r="55" spans="1:18" s="3196" customFormat="1" ht="13.5" thickBot="1">
      <c r="A55" s="3239" t="s">
        <v>3018</v>
      </c>
      <c r="B55" s="3240" t="s">
        <v>3019</v>
      </c>
      <c r="C55" s="3241"/>
      <c r="D55" s="3230"/>
      <c r="E55" s="3401"/>
      <c r="F55" s="3402"/>
      <c r="I55" s="3405" t="s">
        <v>3150</v>
      </c>
      <c r="J55" s="3406" t="e">
        <f ca="1">ROUND(IF(J47="钢混",J57/J50,1-(1-2%)*(J50-J57)/J50),3)</f>
        <v>#VALUE!</v>
      </c>
      <c r="K55" s="3407" t="s">
        <v>3151</v>
      </c>
      <c r="L55" s="3408"/>
      <c r="O55" s="3342" t="s">
        <v>3114</v>
      </c>
      <c r="P55" s="3343" t="s">
        <v>3115</v>
      </c>
      <c r="Q55" s="3344" t="s">
        <v>3116</v>
      </c>
      <c r="R55" s="3344" t="s">
        <v>3117</v>
      </c>
    </row>
    <row r="56" spans="1:18" s="3196" customFormat="1" ht="36" customHeight="1" thickTop="1" thickBot="1">
      <c r="A56" s="3409">
        <v>2</v>
      </c>
      <c r="B56" s="3410" t="s">
        <v>3020</v>
      </c>
      <c r="C56" s="3411">
        <f ca="1">C13</f>
        <v>0</v>
      </c>
      <c r="D56" s="3412"/>
      <c r="E56" s="3413"/>
      <c r="F56" s="3402"/>
      <c r="I56" s="3414" t="s">
        <v>3152</v>
      </c>
      <c r="J56" s="3415"/>
      <c r="K56" s="3364" t="s">
        <v>3153</v>
      </c>
      <c r="L56" s="3367">
        <f ca="1">IF(L48&lt;J51,"——",L48-J51)</f>
        <v>70</v>
      </c>
      <c r="O56" s="3355" t="s">
        <v>2384</v>
      </c>
      <c r="P56" s="3356" t="s">
        <v>3120</v>
      </c>
      <c r="Q56" s="3357">
        <f ca="1">C40+J29</f>
        <v>0</v>
      </c>
      <c r="R56" s="3357" t="s">
        <v>3121</v>
      </c>
    </row>
    <row r="57" spans="1:18" s="3196" customFormat="1" ht="24.75" thickBot="1">
      <c r="A57" s="3416"/>
      <c r="B57" s="3417" t="s">
        <v>3098</v>
      </c>
      <c r="C57" s="3418">
        <f ca="1">C29</f>
        <v>11184800</v>
      </c>
      <c r="D57" s="3419"/>
      <c r="E57" s="3420"/>
      <c r="F57" s="3421"/>
      <c r="I57" s="3422" t="s">
        <v>3154</v>
      </c>
      <c r="J57" s="3423" t="str">
        <f ca="1">IF(OR(M47="住宅",J51&lt;L48,J56="是"),"——",J51-L48)</f>
        <v>——</v>
      </c>
      <c r="K57" s="3364" t="s">
        <v>3155</v>
      </c>
      <c r="L57" s="3367">
        <f ca="1">IF(L48&lt;J51,"——",IF(L55="比较法",L49,IF(L55="基准地价",L50,L51)))</f>
        <v>-1991981</v>
      </c>
      <c r="O57" s="3355" t="s">
        <v>2386</v>
      </c>
      <c r="P57" s="3356" t="s">
        <v>3156</v>
      </c>
      <c r="Q57" s="3357" t="e">
        <f ca="1">L60</f>
        <v>#DIV/0!</v>
      </c>
      <c r="R57" s="3357" t="s">
        <v>3157</v>
      </c>
    </row>
    <row r="58" spans="1:18" s="3196" customFormat="1" ht="24.75" thickBot="1">
      <c r="A58" s="3424" t="s">
        <v>3102</v>
      </c>
      <c r="B58" s="3410" t="s">
        <v>3037</v>
      </c>
      <c r="C58" s="3229">
        <f ca="1">ROUND(C59+C64+C65+C66,0)</f>
        <v>93952</v>
      </c>
      <c r="D58" s="3425" t="s">
        <v>3038</v>
      </c>
      <c r="E58" s="3426"/>
      <c r="F58" s="3362"/>
      <c r="I58" s="3422" t="s">
        <v>3158</v>
      </c>
      <c r="J58" s="3427" t="e">
        <f ca="1">IF(J55&lt;0.4,0.4,J55)</f>
        <v>#VALUE!</v>
      </c>
      <c r="K58" s="3391" t="s">
        <v>3159</v>
      </c>
      <c r="L58" s="3367" t="e">
        <f ca="1">ROUND(POWER(1+L52,L47-L48)*(POWER(1+L52,L48)-1)/(POWER(1+L52,L47)-1),4)</f>
        <v>#DIV/0!</v>
      </c>
      <c r="O58" s="3377" t="s">
        <v>2388</v>
      </c>
      <c r="P58" s="3356" t="s">
        <v>3160</v>
      </c>
      <c r="Q58" s="3357">
        <f>IF(L55="比较法",L49,IF(L55="基准地价",L50,0))</f>
        <v>0</v>
      </c>
      <c r="R58" s="3357" t="s">
        <v>3121</v>
      </c>
    </row>
    <row r="59" spans="1:18" s="3196" customFormat="1" ht="24.75" thickBot="1">
      <c r="A59" s="3256" t="s">
        <v>3002</v>
      </c>
      <c r="B59" s="3417" t="s">
        <v>3043</v>
      </c>
      <c r="C59" s="3261">
        <f ca="1">ROUND(IF([1]项目基本情况!B11="自然人",C48*F59,C60+C61+C62),0)</f>
        <v>93952</v>
      </c>
      <c r="D59" s="3428" t="s">
        <v>3044</v>
      </c>
      <c r="E59" s="3429" t="s">
        <v>3045</v>
      </c>
      <c r="F59" s="3278">
        <f ca="1">IF([1]项目基本情况!B11="企业","",IF(INDIRECT("'数据-取费表'!c"&amp;$G$1)="住宅",5%,IF(F49*F50*F51/12/(1+'[1]数据-取费表'!C42)&gt;20000,12%,7%)))</f>
        <v>0.05</v>
      </c>
      <c r="I59" s="3422" t="s">
        <v>3161</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2389</v>
      </c>
      <c r="P59" s="3356" t="s">
        <v>3162</v>
      </c>
      <c r="Q59" s="3386">
        <f>L52</f>
        <v>0</v>
      </c>
      <c r="R59" s="3357"/>
    </row>
    <row r="60" spans="1:18" s="3196" customFormat="1" ht="16.5" thickBot="1">
      <c r="A60" s="3256" t="s">
        <v>3023</v>
      </c>
      <c r="B60" s="3417" t="s">
        <v>3103</v>
      </c>
      <c r="C60" s="3261">
        <f ca="1">IF([1]项目基本情况!B11="自然人","——",ROUND(C48*F60/(1+'[1]数据-取费表'!C42),0))</f>
        <v>0</v>
      </c>
      <c r="D60" s="3429" t="s">
        <v>3104</v>
      </c>
      <c r="E60" s="3417" t="s">
        <v>3031</v>
      </c>
      <c r="F60" s="3293">
        <f t="shared" ref="F60:F66" si="0">F32</f>
        <v>0</v>
      </c>
      <c r="I60" s="3430" t="s">
        <v>3163</v>
      </c>
      <c r="J60" s="3431" t="str">
        <f ca="1">IF(OR(M47="住宅",J51&lt;L48,J56="是"),"0",ROUND(J59/(1+J52)^J53,0))</f>
        <v>0</v>
      </c>
      <c r="K60" s="3432" t="s">
        <v>3164</v>
      </c>
      <c r="L60" s="3431" t="e">
        <f ca="1">IF(OR(M47="住宅",L48&lt;J51),0,ROUND(L57*(L58/L59-1),0))</f>
        <v>#DIV/0!</v>
      </c>
      <c r="O60" s="3377" t="s">
        <v>2391</v>
      </c>
      <c r="P60" s="3356" t="s">
        <v>3165</v>
      </c>
      <c r="Q60" s="3357" t="e">
        <f ca="1">L58</f>
        <v>#DIV/0!</v>
      </c>
      <c r="R60" s="3357" t="s">
        <v>3166</v>
      </c>
    </row>
    <row r="61" spans="1:18" s="3196" customFormat="1" ht="13.5" thickBot="1">
      <c r="A61" s="3256" t="s">
        <v>3167</v>
      </c>
      <c r="B61" s="3417" t="s">
        <v>3052</v>
      </c>
      <c r="C61" s="3261">
        <f ca="1">IF([1]项目基本情况!B11="自然人","——",IF(D61="按租金收入计税",ROUND(C48*F61,0),IF(D61="按房产原值计税",ROUND(C57*F61*0.7,0),INDIRECT("'数据-取费表'!Aj"&amp;$G$1))))</f>
        <v>93952</v>
      </c>
      <c r="D61" s="3281" t="s">
        <v>3053</v>
      </c>
      <c r="E61" s="3417" t="s">
        <v>3031</v>
      </c>
      <c r="F61" s="3274">
        <f t="shared" si="0"/>
        <v>1.2E-2</v>
      </c>
      <c r="I61" s="3433"/>
      <c r="J61" s="3433"/>
      <c r="K61" s="3433"/>
      <c r="L61" s="3433"/>
      <c r="O61" s="3377" t="s">
        <v>2393</v>
      </c>
      <c r="P61" s="3356" t="str">
        <f>K59</f>
        <v>建设期及建筑物耐用年限下的土地年期修正系数Kn</v>
      </c>
      <c r="Q61" s="3357" t="e">
        <f ca="1">L59</f>
        <v>#DIV/0!</v>
      </c>
      <c r="R61" s="3357" t="s">
        <v>3168</v>
      </c>
    </row>
    <row r="62" spans="1:18" s="3196" customFormat="1" ht="13.5" thickBot="1">
      <c r="A62" s="3256" t="s">
        <v>3169</v>
      </c>
      <c r="B62" s="3434" t="s">
        <v>3056</v>
      </c>
      <c r="C62" s="3283">
        <f ca="1">IF([1]项目基本情况!B11="自然人","——",ROUND(F62*F63,0))</f>
        <v>0</v>
      </c>
      <c r="D62" s="3435" t="s">
        <v>3057</v>
      </c>
      <c r="E62" s="3417" t="s">
        <v>3058</v>
      </c>
      <c r="F62" s="3285">
        <f t="shared" si="0"/>
        <v>0</v>
      </c>
      <c r="I62" s="3436" t="s">
        <v>3170</v>
      </c>
      <c r="J62" s="3437" t="s">
        <v>3171</v>
      </c>
      <c r="K62" s="3437" t="s">
        <v>3172</v>
      </c>
      <c r="L62" s="3437" t="s">
        <v>3173</v>
      </c>
      <c r="M62" s="3438" t="s">
        <v>3174</v>
      </c>
      <c r="O62" s="3355" t="s">
        <v>2396</v>
      </c>
      <c r="P62" s="3356" t="s">
        <v>3148</v>
      </c>
      <c r="Q62" s="3357" t="e">
        <f ca="1">Q56+Q57</f>
        <v>#DIV/0!</v>
      </c>
      <c r="R62" s="3357" t="s">
        <v>2397</v>
      </c>
    </row>
    <row r="63" spans="1:18" s="3196" customFormat="1" ht="13.5" thickBot="1">
      <c r="A63" s="3286"/>
      <c r="B63" s="3439"/>
      <c r="C63" s="3288"/>
      <c r="D63" s="3440"/>
      <c r="E63" s="3417" t="s">
        <v>3063</v>
      </c>
      <c r="F63" s="3216">
        <f t="shared" ca="1" si="0"/>
        <v>1896.19</v>
      </c>
      <c r="I63" s="3436" t="s">
        <v>3175</v>
      </c>
      <c r="J63" s="3437">
        <v>70</v>
      </c>
      <c r="K63" s="3437">
        <v>50</v>
      </c>
      <c r="L63" s="3437">
        <v>80</v>
      </c>
      <c r="M63" s="3441">
        <v>0.02</v>
      </c>
      <c r="O63" s="3334" t="s">
        <v>3176</v>
      </c>
      <c r="P63" s="3327"/>
      <c r="Q63" s="3327"/>
      <c r="R63" s="3327"/>
    </row>
    <row r="64" spans="1:18" s="3196" customFormat="1" ht="13.5" thickBot="1">
      <c r="A64" s="3256" t="s">
        <v>3010</v>
      </c>
      <c r="B64" s="3417" t="s">
        <v>3066</v>
      </c>
      <c r="C64" s="3261">
        <f ca="1">ROUND(C57*F64,0)</f>
        <v>0</v>
      </c>
      <c r="D64" s="3429" t="s">
        <v>3105</v>
      </c>
      <c r="E64" s="3417" t="s">
        <v>3031</v>
      </c>
      <c r="F64" s="3290">
        <f t="shared" ca="1" si="0"/>
        <v>0</v>
      </c>
      <c r="I64" s="3436" t="s">
        <v>3177</v>
      </c>
      <c r="J64" s="3437">
        <v>50</v>
      </c>
      <c r="K64" s="3437">
        <v>35</v>
      </c>
      <c r="L64" s="3437">
        <v>60</v>
      </c>
      <c r="M64" s="3438">
        <v>0</v>
      </c>
      <c r="O64" s="3342" t="s">
        <v>3114</v>
      </c>
      <c r="P64" s="3343" t="s">
        <v>3115</v>
      </c>
      <c r="Q64" s="3344" t="s">
        <v>3116</v>
      </c>
      <c r="R64" s="3344" t="s">
        <v>3117</v>
      </c>
    </row>
    <row r="65" spans="1:18" s="3196" customFormat="1" ht="13.5" thickBot="1">
      <c r="A65" s="3256" t="s">
        <v>3178</v>
      </c>
      <c r="B65" s="3417" t="s">
        <v>3070</v>
      </c>
      <c r="C65" s="3261">
        <f ca="1">ROUND(C56*F65,0)</f>
        <v>0</v>
      </c>
      <c r="D65" s="3429" t="s">
        <v>3071</v>
      </c>
      <c r="E65" s="3417" t="s">
        <v>3031</v>
      </c>
      <c r="F65" s="3292">
        <f t="shared" ca="1" si="0"/>
        <v>0</v>
      </c>
      <c r="I65" s="3436" t="s">
        <v>3179</v>
      </c>
      <c r="J65" s="3437">
        <v>40</v>
      </c>
      <c r="K65" s="3437">
        <v>30</v>
      </c>
      <c r="L65" s="3437">
        <v>50</v>
      </c>
      <c r="M65" s="3441">
        <v>0.02</v>
      </c>
      <c r="O65" s="3355" t="s">
        <v>2384</v>
      </c>
      <c r="P65" s="3356" t="s">
        <v>3120</v>
      </c>
      <c r="Q65" s="3357">
        <f ca="1">C40+J29</f>
        <v>0</v>
      </c>
      <c r="R65" s="3357" t="s">
        <v>3121</v>
      </c>
    </row>
    <row r="66" spans="1:18" s="3196" customFormat="1" ht="16.5" thickBot="1">
      <c r="A66" s="3256" t="s">
        <v>3180</v>
      </c>
      <c r="B66" s="3417" t="s">
        <v>3054</v>
      </c>
      <c r="C66" s="3261">
        <f ca="1">ROUND(C48*F66,0)</f>
        <v>0</v>
      </c>
      <c r="D66" s="3429" t="s">
        <v>3075</v>
      </c>
      <c r="E66" s="3417" t="s">
        <v>3031</v>
      </c>
      <c r="F66" s="3225">
        <f t="shared" ca="1" si="0"/>
        <v>0</v>
      </c>
      <c r="O66" s="3355" t="s">
        <v>2386</v>
      </c>
      <c r="P66" s="3356" t="s">
        <v>3156</v>
      </c>
      <c r="Q66" s="3357" t="e">
        <f ca="1">L60</f>
        <v>#DIV/0!</v>
      </c>
      <c r="R66" s="3357" t="s">
        <v>3181</v>
      </c>
    </row>
    <row r="67" spans="1:18" s="3196" customFormat="1" ht="16.5" thickBot="1">
      <c r="A67" s="3409" t="s">
        <v>3079</v>
      </c>
      <c r="B67" s="3442" t="s">
        <v>3080</v>
      </c>
      <c r="C67" s="3229">
        <f ca="1">C48-C58</f>
        <v>-93952</v>
      </c>
      <c r="D67" s="3428" t="s">
        <v>3081</v>
      </c>
      <c r="E67" s="3443"/>
      <c r="F67" s="3444"/>
      <c r="O67" s="3377" t="s">
        <v>2388</v>
      </c>
      <c r="P67" s="3356" t="s">
        <v>3160</v>
      </c>
      <c r="Q67" s="3445">
        <f ca="1">L51</f>
        <v>-1991981</v>
      </c>
      <c r="R67" s="3357" t="s">
        <v>3182</v>
      </c>
    </row>
    <row r="68" spans="1:18" s="3196" customFormat="1" ht="16.5" thickBot="1">
      <c r="A68" s="3446" t="s">
        <v>3085</v>
      </c>
      <c r="B68" s="3447" t="s">
        <v>3106</v>
      </c>
      <c r="C68" s="3217">
        <f ca="1">ROUND(C67*(1-((1+F70)/(1+F68))^F69)/(F68-F70),0)</f>
        <v>0</v>
      </c>
      <c r="D68" s="3435" t="s">
        <v>3087</v>
      </c>
      <c r="E68" s="3417" t="s">
        <v>3088</v>
      </c>
      <c r="F68" s="3225">
        <f ca="1">F40</f>
        <v>0.05</v>
      </c>
      <c r="O68" s="3377" t="s">
        <v>2389</v>
      </c>
      <c r="P68" s="3448" t="s">
        <v>3183</v>
      </c>
      <c r="Q68" s="3357">
        <f ca="1">ROUND(Q69-Q70*Q71,0)</f>
        <v>-93952</v>
      </c>
      <c r="R68" s="3357" t="s">
        <v>3184</v>
      </c>
    </row>
    <row r="69" spans="1:18" s="3196" customFormat="1" ht="13.5" thickBot="1">
      <c r="A69" s="3449"/>
      <c r="B69" s="3450"/>
      <c r="C69" s="3224"/>
      <c r="D69" s="3451" t="s">
        <v>3091</v>
      </c>
      <c r="E69" s="3417" t="s">
        <v>3092</v>
      </c>
      <c r="F69" s="3302">
        <f ca="1">F41</f>
        <v>0</v>
      </c>
      <c r="O69" s="3377" t="s">
        <v>2404</v>
      </c>
      <c r="P69" s="3448" t="s">
        <v>3185</v>
      </c>
      <c r="Q69" s="3357">
        <f ca="1">C39</f>
        <v>-93952</v>
      </c>
      <c r="R69" s="3357" t="s">
        <v>3121</v>
      </c>
    </row>
    <row r="70" spans="1:18" s="3196" customFormat="1" ht="13.5" thickBot="1">
      <c r="A70" s="3452"/>
      <c r="B70" s="3453"/>
      <c r="C70" s="3249"/>
      <c r="D70" s="3440"/>
      <c r="E70" s="3417" t="s">
        <v>3096</v>
      </c>
      <c r="F70" s="3394">
        <f ca="1">F42</f>
        <v>0</v>
      </c>
      <c r="O70" s="3377" t="s">
        <v>2406</v>
      </c>
      <c r="P70" s="3448" t="s">
        <v>3186</v>
      </c>
      <c r="Q70" s="3357">
        <f ca="1">C13</f>
        <v>0</v>
      </c>
      <c r="R70" s="3357" t="s">
        <v>3121</v>
      </c>
    </row>
    <row r="71" spans="1:18" s="3196" customFormat="1" ht="13.5" thickBot="1">
      <c r="A71" s="3454" t="s">
        <v>3099</v>
      </c>
      <c r="B71" s="3455" t="s">
        <v>3107</v>
      </c>
      <c r="C71" s="3307">
        <f ca="1">ROUND(C68/F71,0)</f>
        <v>0</v>
      </c>
      <c r="D71" s="3456" t="s">
        <v>3108</v>
      </c>
      <c r="E71" s="3457" t="s">
        <v>3109</v>
      </c>
      <c r="F71" s="3310">
        <f ca="1">F43</f>
        <v>4473.92</v>
      </c>
      <c r="O71" s="3377" t="s">
        <v>2408</v>
      </c>
      <c r="P71" s="3448" t="s">
        <v>3187</v>
      </c>
      <c r="Q71" s="3386">
        <f ca="1">C76</f>
        <v>8.5000000000000006E-2</v>
      </c>
      <c r="R71" s="3357"/>
    </row>
    <row r="72" spans="1:18" s="3196" customFormat="1" ht="13.5" thickBot="1">
      <c r="B72" s="3458"/>
      <c r="C72" s="3458"/>
      <c r="O72" s="3377" t="s">
        <v>2391</v>
      </c>
      <c r="P72" s="3356" t="s">
        <v>3162</v>
      </c>
      <c r="Q72" s="3386">
        <f>L52</f>
        <v>0</v>
      </c>
      <c r="R72" s="3357"/>
    </row>
    <row r="73" spans="1:18" ht="16.5" thickBot="1">
      <c r="A73" s="3196"/>
      <c r="B73" s="3458"/>
      <c r="C73" s="3458"/>
      <c r="D73" s="3196"/>
      <c r="E73" s="3196"/>
      <c r="F73" s="3196"/>
      <c r="O73" s="3377" t="s">
        <v>2393</v>
      </c>
      <c r="P73" s="3356" t="s">
        <v>3165</v>
      </c>
      <c r="Q73" s="3357" t="e">
        <f ca="1">L58</f>
        <v>#DIV/0!</v>
      </c>
      <c r="R73" s="3357" t="s">
        <v>3166</v>
      </c>
    </row>
    <row r="74" spans="1:18" ht="13.5" thickBot="1">
      <c r="A74" s="3196"/>
      <c r="B74" s="3460" t="s">
        <v>3188</v>
      </c>
      <c r="C74" s="3461"/>
      <c r="D74" s="3196"/>
      <c r="E74" s="3196"/>
      <c r="F74" s="3196"/>
      <c r="O74" s="3377" t="s">
        <v>3189</v>
      </c>
      <c r="P74" s="3356" t="str">
        <f>K59</f>
        <v>建设期及建筑物耐用年限下的土地年期修正系数Kn</v>
      </c>
      <c r="Q74" s="3357" t="e">
        <f ca="1">L59</f>
        <v>#DIV/0!</v>
      </c>
      <c r="R74" s="3357" t="s">
        <v>3168</v>
      </c>
    </row>
    <row r="75" spans="1:18" ht="13.5" thickBot="1">
      <c r="A75" s="3196"/>
      <c r="B75" s="3462" t="s">
        <v>3190</v>
      </c>
      <c r="C75" s="3463">
        <f ca="1">ROUND(C13*C76,0)</f>
        <v>0</v>
      </c>
      <c r="D75" s="3196"/>
      <c r="E75" s="3196"/>
      <c r="F75" s="3196"/>
      <c r="K75" s="3331"/>
      <c r="L75" s="3196"/>
      <c r="O75" s="3355" t="s">
        <v>2396</v>
      </c>
      <c r="P75" s="3356" t="s">
        <v>3148</v>
      </c>
      <c r="Q75" s="3357" t="e">
        <f ca="1">Q65+Q66</f>
        <v>#DIV/0!</v>
      </c>
      <c r="R75" s="3357" t="s">
        <v>2397</v>
      </c>
    </row>
    <row r="76" spans="1:18">
      <c r="B76" s="3464" t="s">
        <v>3191</v>
      </c>
      <c r="C76" s="3465">
        <f ca="1">INDIRECT("'数据-取费表'!j"&amp;$G$1)</f>
        <v>8.5000000000000006E-2</v>
      </c>
      <c r="I76" s="3196"/>
      <c r="J76" s="3196"/>
      <c r="K76" s="3331"/>
      <c r="L76" s="3196"/>
    </row>
    <row r="77" spans="1:18">
      <c r="B77" s="3466" t="s">
        <v>3192</v>
      </c>
      <c r="C77" s="3467"/>
      <c r="I77" s="3196"/>
      <c r="J77" s="3196"/>
      <c r="K77" s="3331"/>
      <c r="L77" s="3196"/>
    </row>
    <row r="78" spans="1:18">
      <c r="B78" s="3468" t="s">
        <v>3193</v>
      </c>
      <c r="C78" s="3469"/>
    </row>
    <row r="79" spans="1:18">
      <c r="B79" s="3462" t="s">
        <v>3194</v>
      </c>
      <c r="C79" s="3470">
        <f ca="1">1-C80</f>
        <v>1</v>
      </c>
    </row>
    <row r="80" spans="1:18">
      <c r="B80" s="3462" t="s">
        <v>3195</v>
      </c>
      <c r="C80" s="3470">
        <f ca="1">ROUND(C75/C39,3)</f>
        <v>0</v>
      </c>
    </row>
    <row r="81" spans="2:3">
      <c r="B81" s="3468" t="s">
        <v>3196</v>
      </c>
      <c r="C81" s="3418"/>
    </row>
    <row r="82" spans="2:3">
      <c r="B82" s="3460" t="s">
        <v>3197</v>
      </c>
      <c r="C82" s="3471" t="e">
        <f ca="1">1-C83</f>
        <v>#DIV/0!</v>
      </c>
    </row>
    <row r="83" spans="2:3">
      <c r="B83" s="3460" t="s">
        <v>3198</v>
      </c>
      <c r="C83" s="347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2552</v>
      </c>
      <c r="R1" s="2605"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8" t="s">
        <v>2965</v>
      </c>
      <c r="C18" s="1555"/>
    </row>
    <row r="19" spans="1:3">
      <c r="A19" s="8" t="s">
        <v>120</v>
      </c>
      <c r="B19" s="3138"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3138" t="s">
        <v>3241</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19"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c r="D53" s="1769"/>
      <c r="E53" s="1769"/>
    </row>
    <row r="54" spans="1:5">
      <c r="A54" s="3519"/>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19"/>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19"/>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19"/>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SheetLayoutView="90" workbookViewId="0">
      <selection activeCell="I23" sqref="I2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22" t="str">
        <f>IF(B10="北京市","北京市",C10)&amp;F10&amp;B16&amp;"国有建设用地使用权"&amp;B9&amp;"预评估"</f>
        <v>出让国有建设用地使用权预评估</v>
      </c>
      <c r="C1" s="3523"/>
      <c r="D1" s="3523"/>
      <c r="E1" s="3523"/>
      <c r="F1" s="3523"/>
      <c r="G1" s="3523"/>
      <c r="H1" s="3523"/>
      <c r="I1" s="3524"/>
      <c r="J1" s="1694"/>
      <c r="K1" s="2477" t="str">
        <f>IF(B10="北京市","北京市",C10)&amp;F10&amp;B16&amp;"国有建设用地使用权"&amp;B9</f>
        <v>出让国有建设用地使用权</v>
      </c>
      <c r="L1" s="1723"/>
      <c r="M1" s="1723"/>
      <c r="N1" s="1694"/>
      <c r="O1" s="1695"/>
      <c r="P1" s="1694"/>
      <c r="Q1" s="1694"/>
      <c r="R1" s="1694"/>
      <c r="S1" s="1694"/>
      <c r="T1" s="1694"/>
      <c r="U1" s="1694"/>
    </row>
    <row r="2" spans="1:21">
      <c r="A2" s="1660" t="s">
        <v>1942</v>
      </c>
      <c r="B2" s="1842"/>
      <c r="D2" s="1694"/>
      <c r="E2" s="1694"/>
      <c r="F2" s="1694"/>
      <c r="G2" s="1694"/>
      <c r="H2" s="1660"/>
      <c r="I2" s="1695"/>
      <c r="J2" s="1694"/>
      <c r="K2" s="2477"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43136</v>
      </c>
      <c r="C3" s="1663" t="s">
        <v>1999</v>
      </c>
      <c r="D3" s="1662">
        <v>43136</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77"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77"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c r="C8" s="1671"/>
      <c r="D8" s="3528"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c r="C9" s="1675"/>
      <c r="D9" s="3529"/>
      <c r="E9" s="1674"/>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25"/>
      <c r="C12" s="3526"/>
      <c r="D12" s="3527"/>
      <c r="E12" s="1699" t="s">
        <v>2065</v>
      </c>
      <c r="F12" s="3543" t="s">
        <v>2897</v>
      </c>
      <c r="G12" s="3544"/>
      <c r="H12" s="3544"/>
      <c r="I12" s="3545"/>
      <c r="J12" s="1694"/>
      <c r="K12" s="1774"/>
      <c r="L12" s="1723"/>
      <c r="M12" s="1723"/>
      <c r="N12" s="1694"/>
      <c r="O12" s="1695"/>
      <c r="P12" s="1694"/>
      <c r="Q12" s="1694"/>
      <c r="R12" s="1694"/>
      <c r="S12" s="1694"/>
      <c r="T12" s="1694"/>
      <c r="U12" s="1694"/>
    </row>
    <row r="13" spans="1:21">
      <c r="A13" s="1687" t="s">
        <v>2063</v>
      </c>
      <c r="B13" s="3525"/>
      <c r="C13" s="3526"/>
      <c r="D13" s="3527"/>
      <c r="E13" s="1699" t="s">
        <v>2065</v>
      </c>
      <c r="F13" s="3543" t="s">
        <v>2898</v>
      </c>
      <c r="G13" s="3544"/>
      <c r="H13" s="3544"/>
      <c r="I13" s="3545"/>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68"/>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3218</v>
      </c>
      <c r="C16" s="1699" t="s">
        <v>1952</v>
      </c>
      <c r="D16" s="2669" t="s">
        <v>1953</v>
      </c>
      <c r="E16" s="1722"/>
      <c r="F16" s="1722"/>
      <c r="G16" s="1722" t="s">
        <v>3287</v>
      </c>
      <c r="H16" s="1722"/>
      <c r="I16" s="1686" t="s">
        <v>1958</v>
      </c>
      <c r="J16" s="1694"/>
      <c r="K16" s="2478" t="str">
        <f>IF(D17="","",D16&amp;TEXT(D17,"yyyy年m月d日;;"))</f>
        <v>住宅2088年2月5日</v>
      </c>
      <c r="L16" s="1699" t="str">
        <f>IF(OR(K16="",M16=""),"","、")</f>
        <v/>
      </c>
      <c r="M16" s="2478" t="str">
        <f>IF(E17="","",E16&amp;TEXT(E17,"yyyy年m月d日;;"))</f>
        <v/>
      </c>
      <c r="N16" s="1699" t="str">
        <f>IF(OR(M16="",O16=""),"","、")</f>
        <v/>
      </c>
      <c r="O16" s="2478" t="str">
        <f>IF(F17="","",F16&amp;TEXT(F17,"yyyy年m月d日;;"))</f>
        <v/>
      </c>
      <c r="P16" s="1699" t="str">
        <f>IF(OR(O16="",Q16=""),"","、")</f>
        <v/>
      </c>
      <c r="Q16" s="2478" t="str">
        <f>IF(G17="","",G16&amp;TEXT(G17,"yyyy年m月d日;;"))</f>
        <v>车库2068年1月26日</v>
      </c>
      <c r="R16" s="1699" t="str">
        <f>IF(OR(Q16="",S16=""),"","、")</f>
        <v/>
      </c>
      <c r="S16" s="2478" t="str">
        <f>IF(H17="","",H16&amp;TEXT(H17,"yyyy年m月d日;;"))</f>
        <v/>
      </c>
      <c r="T16" s="1699" t="str">
        <f>IF(OR(S16="",U16=""),"","、")</f>
        <v/>
      </c>
      <c r="U16" s="2478" t="str">
        <f>IF(I17="","",I16&amp;TEXT(I17,"yyyy年m月d日;;"))</f>
        <v/>
      </c>
    </row>
    <row r="17" spans="1:21">
      <c r="A17" s="1763"/>
      <c r="B17" s="1682"/>
      <c r="C17" s="1683" t="s">
        <v>1959</v>
      </c>
      <c r="D17" s="1700">
        <v>68703</v>
      </c>
      <c r="E17" s="1700"/>
      <c r="F17" s="1700"/>
      <c r="G17" s="3486">
        <v>61388</v>
      </c>
      <c r="H17" s="1700"/>
      <c r="I17" s="1700"/>
      <c r="J17" s="1694"/>
      <c r="K17" s="2477" t="str">
        <f>CONCATENATE(K16,L16,M16,N16,O16,P16,Q16,R16,S16,T16,,U16)</f>
        <v>住宅2088年2月5日车库2068年1月26日</v>
      </c>
      <c r="L17" s="1723"/>
      <c r="M17" s="1723"/>
      <c r="N17" s="1694"/>
      <c r="O17" s="1695"/>
      <c r="P17" s="1694"/>
      <c r="Q17" s="1694"/>
      <c r="R17" s="1694"/>
      <c r="S17" s="1694"/>
      <c r="T17" s="1694"/>
      <c r="U17" s="1694"/>
    </row>
    <row r="18" spans="1:21">
      <c r="A18" s="1763"/>
      <c r="B18" s="1682"/>
      <c r="C18" s="1683" t="s">
        <v>1960</v>
      </c>
      <c r="D18" s="1684">
        <v>70</v>
      </c>
      <c r="E18" s="1684"/>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t="str">
        <f>IF(B16="出让",IF(E17="","",ROUNDDOWN(MIN((E17-$D$3)/365,E18),2)),E18)</f>
        <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40"/>
      <c r="E20" s="3541"/>
      <c r="F20" s="3541"/>
      <c r="G20" s="3541"/>
      <c r="H20" s="3541"/>
      <c r="I20" s="3542"/>
      <c r="J20" s="1694"/>
      <c r="K20" s="1774"/>
      <c r="L20" s="1723"/>
      <c r="M20" s="1723"/>
      <c r="N20" s="1694"/>
      <c r="O20" s="1695"/>
      <c r="P20" s="1694"/>
      <c r="Q20" s="1694"/>
      <c r="R20" s="1694"/>
      <c r="S20" s="1694"/>
      <c r="T20" s="1694"/>
      <c r="U20" s="1694"/>
    </row>
    <row r="21" spans="1:21">
      <c r="A21" s="1763" t="s">
        <v>1962</v>
      </c>
      <c r="B21" s="1764" t="s">
        <v>1963</v>
      </c>
      <c r="C21" s="1759">
        <f>'数据-汇总表'!E3</f>
        <v>83910.81</v>
      </c>
      <c r="D21" s="1760" t="s">
        <v>1964</v>
      </c>
      <c r="E21" s="3530" t="s">
        <v>2002</v>
      </c>
      <c r="F21" s="3531"/>
      <c r="G21" s="3531"/>
      <c r="H21" s="3531"/>
      <c r="I21" s="3532"/>
      <c r="J21" s="1694"/>
      <c r="K21" s="1774"/>
      <c r="L21" s="1723"/>
      <c r="M21" s="1723"/>
      <c r="N21" s="1694"/>
      <c r="O21" s="1695"/>
      <c r="P21" s="1694"/>
      <c r="Q21" s="1694"/>
      <c r="R21" s="1694"/>
      <c r="S21" s="1694"/>
      <c r="T21" s="1694"/>
      <c r="U21" s="1694"/>
    </row>
    <row r="22" spans="1:21">
      <c r="A22" s="2660" t="s">
        <v>953</v>
      </c>
      <c r="B22" s="1661" t="s">
        <v>1965</v>
      </c>
      <c r="C22" s="1686">
        <f>'数据-汇总表'!D3</f>
        <v>35564.06</v>
      </c>
      <c r="D22" s="1687" t="s">
        <v>1964</v>
      </c>
      <c r="E22" s="3530" t="s">
        <v>2899</v>
      </c>
      <c r="F22" s="3531"/>
      <c r="G22" s="3531"/>
      <c r="H22" s="3531"/>
      <c r="I22" s="3532"/>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33" t="s">
        <v>1970</v>
      </c>
      <c r="C24" s="3534"/>
      <c r="D24" s="3535" t="s">
        <v>1971</v>
      </c>
      <c r="E24" s="3536"/>
      <c r="F24" s="1708" t="s">
        <v>1972</v>
      </c>
      <c r="G24" s="1694"/>
      <c r="H24" s="1694"/>
      <c r="I24" s="1707"/>
      <c r="J24" s="1694"/>
      <c r="K24" s="3521"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21"/>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21"/>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4"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5"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5"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6"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48" t="s">
        <v>2005</v>
      </c>
      <c r="B31" s="1764" t="s">
        <v>2006</v>
      </c>
      <c r="C31" s="3546"/>
      <c r="D31" s="3547"/>
      <c r="E31" s="1694"/>
      <c r="F31" s="1694"/>
      <c r="G31" s="1694"/>
      <c r="H31" s="1694"/>
      <c r="I31" s="1707"/>
      <c r="J31" s="1694"/>
      <c r="K31" s="2480"/>
      <c r="L31" s="1694"/>
      <c r="M31" s="1694"/>
      <c r="N31" s="1694"/>
      <c r="O31" s="1694"/>
      <c r="P31" s="1694"/>
      <c r="Q31" s="1694"/>
      <c r="R31" s="1694"/>
      <c r="S31" s="1694"/>
      <c r="T31" s="1694"/>
      <c r="U31" s="1694"/>
    </row>
    <row r="32" spans="1:21">
      <c r="A32" s="3548"/>
      <c r="B32" s="1661" t="s">
        <v>2007</v>
      </c>
      <c r="C32" s="1719"/>
      <c r="D32" s="1720"/>
      <c r="E32" s="1694"/>
      <c r="F32" s="1694"/>
      <c r="G32" s="1694"/>
      <c r="H32" s="1694"/>
      <c r="I32" s="1707"/>
      <c r="J32" s="1694"/>
      <c r="K32" s="2480"/>
      <c r="L32" s="1694"/>
      <c r="M32" s="1694"/>
      <c r="N32" s="1694"/>
      <c r="O32" s="1694"/>
      <c r="P32" s="1694"/>
      <c r="Q32" s="1694"/>
      <c r="R32" s="1694"/>
      <c r="S32" s="1694"/>
      <c r="T32" s="1694"/>
      <c r="U32" s="1694"/>
    </row>
    <row r="33" spans="1:21">
      <c r="A33" s="3548"/>
      <c r="B33" s="1661" t="s">
        <v>2008</v>
      </c>
      <c r="C33" s="1721"/>
      <c r="D33" s="1838"/>
      <c r="E33" s="1694"/>
      <c r="F33" s="1694"/>
      <c r="G33" s="1694"/>
      <c r="H33" s="1694"/>
      <c r="I33" s="1707"/>
      <c r="J33" s="1694"/>
      <c r="K33" s="2480"/>
      <c r="L33" s="1694"/>
      <c r="M33" s="1694"/>
      <c r="N33" s="1694"/>
      <c r="O33" s="1694"/>
      <c r="P33" s="1694"/>
      <c r="Q33" s="1694"/>
      <c r="R33" s="1694"/>
      <c r="S33" s="1694"/>
      <c r="T33" s="1694"/>
      <c r="U33" s="1694"/>
    </row>
    <row r="34" spans="1:21">
      <c r="A34" s="3549"/>
      <c r="B34" s="1661" t="s">
        <v>2009</v>
      </c>
      <c r="C34" s="3550"/>
      <c r="D34" s="3551"/>
      <c r="E34" s="1694"/>
      <c r="F34" s="1694"/>
      <c r="G34" s="1694"/>
      <c r="H34" s="1694"/>
      <c r="I34" s="1707"/>
      <c r="J34" s="1694"/>
      <c r="K34" s="2480"/>
      <c r="L34" s="1694"/>
      <c r="M34" s="1694"/>
      <c r="N34" s="1694"/>
      <c r="O34" s="1694"/>
      <c r="P34" s="1694"/>
      <c r="Q34" s="1694"/>
      <c r="R34" s="1694"/>
      <c r="S34" s="1694"/>
      <c r="T34" s="1694"/>
      <c r="U34" s="1694"/>
    </row>
    <row r="35" spans="1:21">
      <c r="A35" s="3552" t="s">
        <v>848</v>
      </c>
      <c r="B35" s="1722"/>
      <c r="C35" s="1776" t="str">
        <f>IF(B35="场地平整","——","具体情况：")</f>
        <v>具体情况：</v>
      </c>
      <c r="D35" s="3554"/>
      <c r="E35" s="3555"/>
      <c r="F35" s="3555"/>
      <c r="G35" s="3555"/>
      <c r="H35" s="3555"/>
      <c r="I35" s="3556"/>
      <c r="J35" s="1694"/>
      <c r="K35" s="1775"/>
      <c r="L35" s="1723"/>
      <c r="M35" s="1723"/>
      <c r="N35" s="1694"/>
      <c r="O35" s="1695"/>
      <c r="P35" s="1694"/>
      <c r="Q35" s="1694"/>
      <c r="R35" s="1694"/>
      <c r="S35" s="1694"/>
      <c r="T35" s="1694"/>
      <c r="U35" s="1694"/>
    </row>
    <row r="36" spans="1:21">
      <c r="A36" s="3548"/>
      <c r="B36" s="3557" t="s">
        <v>2058</v>
      </c>
      <c r="C36" s="3558"/>
      <c r="D36" s="1792"/>
      <c r="E36" s="3559"/>
      <c r="F36" s="3559"/>
      <c r="G36" s="1687" t="str">
        <f>IF(B35="场地未平整","估价结果处理","")</f>
        <v/>
      </c>
      <c r="H36" s="3560"/>
      <c r="I36" s="3560"/>
      <c r="J36" s="1694"/>
      <c r="K36" s="1775"/>
      <c r="L36" s="1723"/>
      <c r="M36" s="1723"/>
      <c r="N36" s="1694"/>
      <c r="O36" s="1695"/>
      <c r="P36" s="1694"/>
      <c r="Q36" s="1694"/>
      <c r="R36" s="1694"/>
      <c r="S36" s="1694"/>
      <c r="T36" s="1694"/>
      <c r="U36" s="1694"/>
    </row>
    <row r="37" spans="1:21" ht="28.5">
      <c r="A37" s="3548"/>
      <c r="B37" s="3537"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48"/>
      <c r="B38" s="3538"/>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49"/>
      <c r="B39" s="35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20" t="s">
        <v>1989</v>
      </c>
      <c r="T40" s="1731" t="str">
        <f>NUMBERSTRING(7-K40,1)&amp;"通"</f>
        <v>七通</v>
      </c>
      <c r="U40" s="1694"/>
    </row>
    <row r="41" spans="1:21">
      <c r="A41" s="1663"/>
      <c r="B41" s="3553" t="s">
        <v>1723</v>
      </c>
      <c r="C41" s="3553"/>
      <c r="D41" s="3553"/>
      <c r="E41" s="3553"/>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20"/>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4" customFormat="1" ht="21" thickBot="1">
      <c r="A45" s="3095" t="s">
        <v>2900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9" activePane="bottomRight" state="frozen"/>
      <selection pane="topRight" activeCell="E1" sqref="E1"/>
      <selection pane="bottomLeft" activeCell="A12" sqref="A12"/>
      <selection pane="bottomRight" activeCell="J31" sqref="J3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35564.06</f>
        <v>35564.06</v>
      </c>
      <c r="B3" s="22">
        <f>IF(C3="否",G5-AT5,G5)</f>
        <v>83910.81</v>
      </c>
      <c r="C3" s="23" t="s">
        <v>3286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83910.81</v>
      </c>
      <c r="H5" s="27">
        <f t="shared" ref="H5:AT5" si="0">SUM(H13:H641)</f>
        <v>83910.81</v>
      </c>
      <c r="I5" s="27">
        <f t="shared" si="0"/>
        <v>4473.92</v>
      </c>
      <c r="J5" s="27">
        <f t="shared" si="0"/>
        <v>0</v>
      </c>
      <c r="K5" s="27">
        <f t="shared" si="0"/>
        <v>48879.319999999992</v>
      </c>
      <c r="L5" s="27">
        <f t="shared" si="0"/>
        <v>0</v>
      </c>
      <c r="M5" s="27">
        <f t="shared" si="0"/>
        <v>30557.57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83910.81</v>
      </c>
      <c r="BA5" s="29">
        <f t="shared" si="1"/>
        <v>83910.81</v>
      </c>
      <c r="BB5" s="29">
        <f t="shared" si="1"/>
        <v>4473.92</v>
      </c>
      <c r="BC5" s="29">
        <f t="shared" si="1"/>
        <v>48879.319999999992</v>
      </c>
      <c r="BD5" s="29">
        <f t="shared" si="1"/>
        <v>30557.57</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35564.06</v>
      </c>
      <c r="F6" s="27" t="s">
        <v>1</v>
      </c>
      <c r="G6" s="27" t="s">
        <v>2</v>
      </c>
      <c r="H6" s="33">
        <f>SUMIF(I$12:AB$12,"总值",I6:AB6)</f>
        <v>35564.06</v>
      </c>
      <c r="I6" s="27">
        <f t="shared" ref="I6:AB6" si="2">ROUND($A$3*I5/$B$3,2)</f>
        <v>1896.19</v>
      </c>
      <c r="J6" s="27">
        <f t="shared" si="2"/>
        <v>0</v>
      </c>
      <c r="K6" s="27">
        <f t="shared" si="2"/>
        <v>20716.599999999999</v>
      </c>
      <c r="L6" s="27">
        <f t="shared" si="2"/>
        <v>0</v>
      </c>
      <c r="M6" s="27">
        <f t="shared" si="2"/>
        <v>12951.27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35564.06</v>
      </c>
      <c r="AZ6" s="27" t="s">
        <v>3</v>
      </c>
      <c r="BA6" s="27">
        <f>ROUND($AY$6*BA5/$AZ$5,2)</f>
        <v>35564.06</v>
      </c>
      <c r="BB6" s="27">
        <f>ROUND($AY$6*BB5/$AZ$5,2)</f>
        <v>1896.19</v>
      </c>
      <c r="BC6" s="27">
        <f t="shared" ref="BC6:BH6" si="4">ROUND($AY$6*BC5/$AZ$5,2)</f>
        <v>20716.599999999999</v>
      </c>
      <c r="BD6" s="27">
        <f t="shared" si="4"/>
        <v>12951.27</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3219</v>
      </c>
      <c r="J9" s="51"/>
      <c r="K9" s="3040" t="s">
        <v>3219</v>
      </c>
      <c r="L9" s="51"/>
      <c r="M9" s="3040" t="s">
        <v>3289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0" t="s">
        <v>924</v>
      </c>
      <c r="L10" s="51"/>
      <c r="M10" s="3042" t="s">
        <v>3287</v>
      </c>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3240</v>
      </c>
      <c r="J11" s="71"/>
      <c r="K11" s="3041" t="s">
        <v>3242</v>
      </c>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合院</v>
      </c>
      <c r="BC12" s="79" t="str">
        <f>K11</f>
        <v>叠拼</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37"/>
      <c r="B13" s="3037"/>
      <c r="C13" s="3037" t="s">
        <v>3272</v>
      </c>
      <c r="D13" s="3038" t="s">
        <v>1680</v>
      </c>
      <c r="E13" s="27">
        <f t="shared" ref="E13:E20" si="6">IF($C$3="是",ROUND($A$3*G13/$B$3,2),ROUND($A$3*(G13-AT13)/$B$3,2))</f>
        <v>778.56</v>
      </c>
      <c r="F13" s="81"/>
      <c r="G13" s="82">
        <f t="shared" ref="G13:G20" si="7">H13+AC13+AT13</f>
        <v>1836.96</v>
      </c>
      <c r="H13" s="33">
        <f t="shared" ref="H13:H20" si="8">SUMIF(I$12:AB$12,"总值",I13:AB13)</f>
        <v>1836.96</v>
      </c>
      <c r="I13" s="3039">
        <v>1836.96</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B1#(4层合院）</v>
      </c>
      <c r="AY13" s="996">
        <f t="shared" ref="AY13:AY20" si="11">ROUND($AY$6*AZ13/$AZ$5,2)</f>
        <v>778.56</v>
      </c>
      <c r="AZ13" s="27">
        <f t="shared" ref="AZ13:AZ20" si="12">BA13+BL13</f>
        <v>1836.96</v>
      </c>
      <c r="BA13" s="27">
        <f t="shared" ref="BA13:BA20" si="13">SUM(BB13:BK13)</f>
        <v>1836.96</v>
      </c>
      <c r="BB13" s="27">
        <f t="shared" ref="BB13:BB20" si="14">IF($D13="是",I13-J13,0)</f>
        <v>1836.96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7"/>
      <c r="B14" s="3037"/>
      <c r="C14" s="3037" t="s">
        <v>3273</v>
      </c>
      <c r="D14" s="3038" t="s">
        <v>1680</v>
      </c>
      <c r="E14" s="27">
        <f t="shared" si="6"/>
        <v>2292.54</v>
      </c>
      <c r="F14" s="81"/>
      <c r="G14" s="82">
        <f t="shared" si="7"/>
        <v>5409.08</v>
      </c>
      <c r="H14" s="33">
        <f t="shared" si="8"/>
        <v>5409.08</v>
      </c>
      <c r="I14" s="3039"/>
      <c r="J14" s="3039"/>
      <c r="K14" s="3039">
        <v>5409.08</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B2#（6层叠拼）</v>
      </c>
      <c r="AY14" s="996">
        <f t="shared" si="11"/>
        <v>2292.54</v>
      </c>
      <c r="AZ14" s="27">
        <f t="shared" si="12"/>
        <v>5409.08</v>
      </c>
      <c r="BA14" s="27">
        <f t="shared" si="13"/>
        <v>5409.08</v>
      </c>
      <c r="BB14" s="27">
        <f t="shared" si="14"/>
        <v>0</v>
      </c>
      <c r="BC14" s="27">
        <f t="shared" si="15"/>
        <v>5409.08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7"/>
      <c r="B15" s="3037"/>
      <c r="C15" s="3037" t="s">
        <v>3274</v>
      </c>
      <c r="D15" s="3038" t="s">
        <v>1680</v>
      </c>
      <c r="E15" s="27">
        <f t="shared" si="6"/>
        <v>2292.54</v>
      </c>
      <c r="F15" s="81"/>
      <c r="G15" s="82">
        <f t="shared" si="7"/>
        <v>5409.08</v>
      </c>
      <c r="H15" s="33">
        <f t="shared" si="8"/>
        <v>5409.08</v>
      </c>
      <c r="I15" s="3039"/>
      <c r="J15" s="3039"/>
      <c r="K15" s="3039">
        <v>5409.08</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B3#（6层叠拼）</v>
      </c>
      <c r="AY15" s="996">
        <f t="shared" si="11"/>
        <v>2292.54</v>
      </c>
      <c r="AZ15" s="27">
        <f t="shared" si="12"/>
        <v>5409.08</v>
      </c>
      <c r="BA15" s="27">
        <f t="shared" si="13"/>
        <v>5409.08</v>
      </c>
      <c r="BB15" s="27">
        <f t="shared" si="14"/>
        <v>0</v>
      </c>
      <c r="BC15" s="27">
        <f t="shared" si="15"/>
        <v>5409.08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7"/>
      <c r="B16" s="3037"/>
      <c r="C16" s="3037" t="s">
        <v>3275</v>
      </c>
      <c r="D16" s="3038" t="s">
        <v>1680</v>
      </c>
      <c r="E16" s="27">
        <f t="shared" si="6"/>
        <v>339.07</v>
      </c>
      <c r="F16" s="81"/>
      <c r="G16" s="82">
        <f t="shared" si="7"/>
        <v>800</v>
      </c>
      <c r="H16" s="33">
        <f t="shared" si="8"/>
        <v>800</v>
      </c>
      <c r="I16" s="3039">
        <v>800</v>
      </c>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B4#（5层定制）</v>
      </c>
      <c r="AY16" s="996">
        <f t="shared" si="11"/>
        <v>339.07</v>
      </c>
      <c r="AZ16" s="27">
        <f t="shared" si="12"/>
        <v>800</v>
      </c>
      <c r="BA16" s="27">
        <f t="shared" si="13"/>
        <v>800</v>
      </c>
      <c r="BB16" s="27">
        <f t="shared" si="14"/>
        <v>800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37"/>
      <c r="B17" s="3037"/>
      <c r="C17" s="3037" t="s">
        <v>3276</v>
      </c>
      <c r="D17" s="3038" t="s">
        <v>1680</v>
      </c>
      <c r="E17" s="27">
        <f t="shared" si="6"/>
        <v>2292.54</v>
      </c>
      <c r="F17" s="81"/>
      <c r="G17" s="82">
        <f t="shared" si="7"/>
        <v>5409.08</v>
      </c>
      <c r="H17" s="33">
        <f t="shared" si="8"/>
        <v>5409.08</v>
      </c>
      <c r="I17" s="3039"/>
      <c r="J17" s="3039"/>
      <c r="K17" s="3039">
        <v>5409.08</v>
      </c>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t="str">
        <f t="shared" si="10"/>
        <v>B5#(6层叠拼）</v>
      </c>
      <c r="AY17" s="996">
        <f t="shared" si="11"/>
        <v>2292.54</v>
      </c>
      <c r="AZ17" s="27">
        <f t="shared" si="12"/>
        <v>5409.08</v>
      </c>
      <c r="BA17" s="27">
        <f t="shared" si="13"/>
        <v>5409.08</v>
      </c>
      <c r="BB17" s="27">
        <f t="shared" si="14"/>
        <v>0</v>
      </c>
      <c r="BC17" s="27">
        <f t="shared" si="15"/>
        <v>5409.08</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037" t="s">
        <v>3277</v>
      </c>
      <c r="D18" s="3038" t="s">
        <v>1680</v>
      </c>
      <c r="E18" s="87">
        <f t="shared" si="6"/>
        <v>778.56</v>
      </c>
      <c r="F18" s="88"/>
      <c r="G18" s="89">
        <f t="shared" si="7"/>
        <v>1836.96</v>
      </c>
      <c r="H18" s="90">
        <f t="shared" si="8"/>
        <v>1836.96</v>
      </c>
      <c r="I18" s="1395">
        <v>1836.96</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B6#（4层合院）</v>
      </c>
      <c r="AY18" s="95">
        <f t="shared" si="11"/>
        <v>778.56</v>
      </c>
      <c r="AZ18" s="87">
        <f t="shared" si="12"/>
        <v>1836.96</v>
      </c>
      <c r="BA18" s="87">
        <f t="shared" si="13"/>
        <v>1836.96</v>
      </c>
      <c r="BB18" s="87">
        <f t="shared" si="14"/>
        <v>1836.96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9"/>
      <c r="C19" s="3037" t="s">
        <v>3278</v>
      </c>
      <c r="D19" s="3038" t="s">
        <v>1680</v>
      </c>
      <c r="E19" s="87">
        <f t="shared" si="6"/>
        <v>2145.71</v>
      </c>
      <c r="F19" s="88"/>
      <c r="G19" s="89">
        <f t="shared" si="7"/>
        <v>5062.6499999999996</v>
      </c>
      <c r="H19" s="90">
        <f t="shared" si="8"/>
        <v>5062.6499999999996</v>
      </c>
      <c r="I19" s="1395"/>
      <c r="J19" s="91"/>
      <c r="K19" s="1395">
        <v>5062.6499999999996</v>
      </c>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B7#（7层叠拼）</v>
      </c>
      <c r="AY19" s="95">
        <f t="shared" si="11"/>
        <v>2145.71</v>
      </c>
      <c r="AZ19" s="87">
        <f t="shared" si="12"/>
        <v>5062.6499999999996</v>
      </c>
      <c r="BA19" s="87">
        <f t="shared" si="13"/>
        <v>5062.6499999999996</v>
      </c>
      <c r="BB19" s="87">
        <f t="shared" si="14"/>
        <v>0</v>
      </c>
      <c r="BC19" s="87">
        <f t="shared" si="15"/>
        <v>5062.6499999999996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99"/>
      <c r="C20" s="3037" t="s">
        <v>3279</v>
      </c>
      <c r="D20" s="3038" t="s">
        <v>1680</v>
      </c>
      <c r="E20" s="87">
        <f t="shared" si="6"/>
        <v>1335.34</v>
      </c>
      <c r="F20" s="88"/>
      <c r="G20" s="89">
        <f t="shared" si="7"/>
        <v>3150.63</v>
      </c>
      <c r="H20" s="90">
        <f t="shared" si="8"/>
        <v>3150.63</v>
      </c>
      <c r="I20" s="1395"/>
      <c r="J20" s="91"/>
      <c r="K20" s="1395">
        <v>3150.63</v>
      </c>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B8#（6层叠拼）</v>
      </c>
      <c r="AY20" s="95">
        <f t="shared" si="11"/>
        <v>1335.34</v>
      </c>
      <c r="AZ20" s="87">
        <f t="shared" si="12"/>
        <v>3150.63</v>
      </c>
      <c r="BA20" s="87">
        <f t="shared" si="13"/>
        <v>3150.63</v>
      </c>
      <c r="BB20" s="87">
        <f t="shared" si="14"/>
        <v>0</v>
      </c>
      <c r="BC20" s="87">
        <f t="shared" si="15"/>
        <v>3150.63</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94"/>
      <c r="C21" s="3037" t="s">
        <v>3280</v>
      </c>
      <c r="D21" s="3038" t="s">
        <v>1680</v>
      </c>
      <c r="E21" s="87">
        <f t="shared" ref="E21:E112" si="33">IF($C$3="是",ROUND($A$3*G21/$B$3,2),ROUND($A$3*(G21-AT21)/$B$3,2))</f>
        <v>1335.34</v>
      </c>
      <c r="F21" s="88"/>
      <c r="G21" s="89">
        <f t="shared" ref="G21:G109" si="34">H21+AC21+AT21</f>
        <v>3150.63</v>
      </c>
      <c r="H21" s="90">
        <f t="shared" ref="H21:H109" si="35">SUMIF(I$12:AB$12,"总值",I21:AB21)</f>
        <v>3150.63</v>
      </c>
      <c r="I21" s="1397"/>
      <c r="J21" s="91"/>
      <c r="K21" s="1397">
        <v>3150.63</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t="str">
        <f t="shared" ref="AX21:AX112" si="39">C21</f>
        <v>B9#（6层叠拼）</v>
      </c>
      <c r="AY21" s="95">
        <f t="shared" ref="AY21:AY109" si="40">ROUND($AY$6*AZ21/$AZ$5,2)</f>
        <v>1335.34</v>
      </c>
      <c r="AZ21" s="87">
        <f t="shared" ref="AZ21:AZ109" si="41">BA21+BL21</f>
        <v>3150.63</v>
      </c>
      <c r="BA21" s="87">
        <f t="shared" ref="BA21:BA109" si="42">SUM(BB21:BK21)</f>
        <v>3150.63</v>
      </c>
      <c r="BB21" s="87">
        <f t="shared" ref="BB21:BB109" si="43">IF($D21="是",I21-J21,0)</f>
        <v>0</v>
      </c>
      <c r="BC21" s="87">
        <f t="shared" ref="BC21:BC109" si="44">IF($D21="是",K21-L21,0)</f>
        <v>3150.63</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4"/>
      <c r="C22" s="3037" t="s">
        <v>3281</v>
      </c>
      <c r="D22" s="3038" t="s">
        <v>1680</v>
      </c>
      <c r="E22" s="87">
        <f t="shared" si="33"/>
        <v>2145.71</v>
      </c>
      <c r="F22" s="88"/>
      <c r="G22" s="89">
        <f t="shared" si="34"/>
        <v>5062.6499999999996</v>
      </c>
      <c r="H22" s="90">
        <f t="shared" si="35"/>
        <v>5062.6499999999996</v>
      </c>
      <c r="I22" s="1397"/>
      <c r="J22" s="91"/>
      <c r="K22" s="1397">
        <v>5062.6499999999996</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B10#（7层叠拼）</v>
      </c>
      <c r="AY22" s="95">
        <f t="shared" si="40"/>
        <v>2145.71</v>
      </c>
      <c r="AZ22" s="87">
        <f t="shared" si="41"/>
        <v>5062.6499999999996</v>
      </c>
      <c r="BA22" s="87">
        <f t="shared" si="42"/>
        <v>5062.6499999999996</v>
      </c>
      <c r="BB22" s="87">
        <f t="shared" si="43"/>
        <v>0</v>
      </c>
      <c r="BC22" s="87">
        <f t="shared" si="44"/>
        <v>5062.6499999999996</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1394"/>
      <c r="C23" s="3037" t="s">
        <v>3282</v>
      </c>
      <c r="D23" s="3038" t="s">
        <v>1680</v>
      </c>
      <c r="E23" s="87">
        <f t="shared" si="33"/>
        <v>1719.22</v>
      </c>
      <c r="F23" s="88"/>
      <c r="G23" s="89">
        <f t="shared" si="34"/>
        <v>4056.38</v>
      </c>
      <c r="H23" s="90">
        <f t="shared" si="35"/>
        <v>4056.38</v>
      </c>
      <c r="I23" s="1397"/>
      <c r="J23" s="91"/>
      <c r="K23" s="1397">
        <v>4056.38</v>
      </c>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t="str">
        <f t="shared" si="39"/>
        <v>B11#（7层叠拼）</v>
      </c>
      <c r="AY23" s="95">
        <f t="shared" si="40"/>
        <v>1719.22</v>
      </c>
      <c r="AZ23" s="87">
        <f t="shared" si="41"/>
        <v>4056.38</v>
      </c>
      <c r="BA23" s="87">
        <f t="shared" si="42"/>
        <v>4056.38</v>
      </c>
      <c r="BB23" s="87">
        <f t="shared" si="43"/>
        <v>0</v>
      </c>
      <c r="BC23" s="87">
        <f t="shared" si="44"/>
        <v>4056.38</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1394"/>
      <c r="C24" s="3037" t="s">
        <v>3283</v>
      </c>
      <c r="D24" s="3038" t="s">
        <v>1680</v>
      </c>
      <c r="E24" s="87">
        <f t="shared" si="33"/>
        <v>1719.22</v>
      </c>
      <c r="F24" s="88"/>
      <c r="G24" s="89">
        <f t="shared" si="34"/>
        <v>4056.38</v>
      </c>
      <c r="H24" s="90">
        <f t="shared" si="35"/>
        <v>4056.38</v>
      </c>
      <c r="I24" s="1397"/>
      <c r="J24" s="91"/>
      <c r="K24" s="1397">
        <v>4056.38</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t="str">
        <f t="shared" si="39"/>
        <v>B12#（7层叠拼）</v>
      </c>
      <c r="AY24" s="95">
        <f t="shared" si="40"/>
        <v>1719.22</v>
      </c>
      <c r="AZ24" s="87">
        <f t="shared" si="41"/>
        <v>4056.38</v>
      </c>
      <c r="BA24" s="87">
        <f t="shared" si="42"/>
        <v>4056.38</v>
      </c>
      <c r="BB24" s="87">
        <f t="shared" si="43"/>
        <v>0</v>
      </c>
      <c r="BC24" s="87">
        <f t="shared" si="44"/>
        <v>4056.38</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1394"/>
      <c r="C25" s="3037" t="s">
        <v>3284</v>
      </c>
      <c r="D25" s="3038" t="s">
        <v>1680</v>
      </c>
      <c r="E25" s="87">
        <f t="shared" si="33"/>
        <v>1719.22</v>
      </c>
      <c r="F25" s="88"/>
      <c r="G25" s="89">
        <f t="shared" si="34"/>
        <v>4056.38</v>
      </c>
      <c r="H25" s="90">
        <f t="shared" si="35"/>
        <v>4056.38</v>
      </c>
      <c r="I25" s="1397"/>
      <c r="J25" s="91"/>
      <c r="K25" s="1397">
        <v>4056.38</v>
      </c>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t="str">
        <f t="shared" si="39"/>
        <v>B13#（7层叠拼）</v>
      </c>
      <c r="AY25" s="95">
        <f t="shared" si="40"/>
        <v>1719.22</v>
      </c>
      <c r="AZ25" s="87">
        <f t="shared" si="41"/>
        <v>4056.38</v>
      </c>
      <c r="BA25" s="87">
        <f t="shared" si="42"/>
        <v>4056.38</v>
      </c>
      <c r="BB25" s="87">
        <f t="shared" si="43"/>
        <v>0</v>
      </c>
      <c r="BC25" s="87">
        <f t="shared" si="44"/>
        <v>4056.38</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4"/>
      <c r="C26" s="3037" t="s">
        <v>3285</v>
      </c>
      <c r="D26" s="80" t="s">
        <v>1680</v>
      </c>
      <c r="E26" s="87">
        <f t="shared" si="33"/>
        <v>1719.22</v>
      </c>
      <c r="F26" s="88"/>
      <c r="G26" s="89">
        <f t="shared" si="34"/>
        <v>4056.38</v>
      </c>
      <c r="H26" s="90">
        <f t="shared" si="35"/>
        <v>4056.38</v>
      </c>
      <c r="I26" s="1397"/>
      <c r="J26" s="91"/>
      <c r="K26" s="1397">
        <v>4056.38</v>
      </c>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t="str">
        <f t="shared" si="39"/>
        <v>B14#（7层叠拼）</v>
      </c>
      <c r="AY26" s="95">
        <f t="shared" si="40"/>
        <v>1719.22</v>
      </c>
      <c r="AZ26" s="87">
        <f t="shared" si="41"/>
        <v>4056.38</v>
      </c>
      <c r="BA26" s="87">
        <f t="shared" si="42"/>
        <v>4056.38</v>
      </c>
      <c r="BB26" s="87">
        <f t="shared" si="43"/>
        <v>0</v>
      </c>
      <c r="BC26" s="87">
        <f t="shared" si="44"/>
        <v>4056.38</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t="s">
        <v>3288</v>
      </c>
      <c r="D27" s="80" t="s">
        <v>1680</v>
      </c>
      <c r="E27" s="87">
        <f t="shared" si="33"/>
        <v>12951.27</v>
      </c>
      <c r="F27" s="88"/>
      <c r="G27" s="89">
        <f t="shared" si="34"/>
        <v>30557.57</v>
      </c>
      <c r="H27" s="90">
        <f t="shared" si="35"/>
        <v>30557.57</v>
      </c>
      <c r="I27" s="1397"/>
      <c r="J27" s="91"/>
      <c r="K27" s="1397"/>
      <c r="L27" s="91"/>
      <c r="M27" s="91">
        <v>30557.57</v>
      </c>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t="str">
        <f t="shared" si="39"/>
        <v>车库</v>
      </c>
      <c r="AY27" s="95">
        <f t="shared" si="40"/>
        <v>12951.27</v>
      </c>
      <c r="AZ27" s="87">
        <f t="shared" si="41"/>
        <v>30557.57</v>
      </c>
      <c r="BA27" s="87">
        <f t="shared" si="42"/>
        <v>30557.57</v>
      </c>
      <c r="BB27" s="87">
        <f t="shared" si="43"/>
        <v>0</v>
      </c>
      <c r="BC27" s="87">
        <f t="shared" si="44"/>
        <v>0</v>
      </c>
      <c r="BD27" s="87">
        <f t="shared" si="45"/>
        <v>30557.57</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1" t="s">
        <v>0</v>
      </c>
      <c r="B1" s="3561" t="s">
        <v>4</v>
      </c>
      <c r="C1" s="3561" t="s">
        <v>5</v>
      </c>
      <c r="D1" s="3562" t="s">
        <v>40</v>
      </c>
      <c r="E1" s="3562" t="s">
        <v>41</v>
      </c>
      <c r="F1" s="3562"/>
      <c r="G1" s="3562"/>
      <c r="H1" s="3562"/>
      <c r="I1" s="3562"/>
      <c r="J1" s="3562"/>
      <c r="K1" s="3562"/>
      <c r="L1" s="3562"/>
      <c r="M1" s="3562"/>
    </row>
    <row r="2" spans="1:13" ht="27" customHeight="1">
      <c r="A2" s="3561"/>
      <c r="B2" s="3561"/>
      <c r="C2" s="3561"/>
      <c r="D2" s="3562"/>
      <c r="E2" s="3562" t="s">
        <v>24</v>
      </c>
      <c r="F2" s="3562" t="s">
        <v>25</v>
      </c>
      <c r="G2" s="3562"/>
      <c r="H2" s="3562"/>
      <c r="I2" s="3562"/>
      <c r="J2" s="3562" t="s">
        <v>26</v>
      </c>
      <c r="K2" s="3562"/>
      <c r="L2" s="3562"/>
      <c r="M2" s="3562"/>
    </row>
    <row r="3" spans="1:13" ht="28.5">
      <c r="A3" s="3561"/>
      <c r="B3" s="3561"/>
      <c r="C3" s="3561"/>
      <c r="D3" s="3562"/>
      <c r="E3" s="35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2" t="s">
        <v>42</v>
      </c>
      <c r="B9" s="3562"/>
      <c r="C9" s="35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5" sqref="A35:I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2" t="s">
        <v>203</v>
      </c>
      <c r="B2" s="3572"/>
      <c r="C2" s="3572"/>
      <c r="D2" s="1975" t="s">
        <v>204</v>
      </c>
      <c r="E2" s="106" t="s">
        <v>205</v>
      </c>
      <c r="F2" s="1984"/>
      <c r="G2" s="1198"/>
      <c r="H2" s="1199"/>
      <c r="I2" s="1200" t="s">
        <v>858</v>
      </c>
      <c r="J2" s="1984"/>
      <c r="K2" s="1984"/>
      <c r="L2" s="1984"/>
    </row>
    <row r="3" spans="1:16" ht="15.75" thickBot="1">
      <c r="A3" s="3573" t="s">
        <v>206</v>
      </c>
      <c r="B3" s="3573"/>
      <c r="C3" s="3573"/>
      <c r="D3" s="107">
        <f>'数据-基础表'!AY6</f>
        <v>35564.06</v>
      </c>
      <c r="E3" s="107">
        <f>'数据-基础表'!AZ5</f>
        <v>83910.81</v>
      </c>
      <c r="F3" s="1984"/>
      <c r="G3" s="280" t="s">
        <v>859</v>
      </c>
      <c r="H3" s="275" t="s">
        <v>860</v>
      </c>
      <c r="I3" s="1976">
        <f>ROUND('数据-基础表'!B3/'数据-基础表'!A3,2)</f>
        <v>2.36</v>
      </c>
      <c r="J3" s="1984"/>
      <c r="K3" s="1984"/>
      <c r="L3" s="1984"/>
    </row>
    <row r="4" spans="1:16" ht="15">
      <c r="A4" s="3574"/>
      <c r="B4" s="3575"/>
      <c r="C4" s="3576"/>
      <c r="D4" s="108" t="s">
        <v>204</v>
      </c>
      <c r="E4" s="109" t="s">
        <v>205</v>
      </c>
      <c r="F4" s="1984"/>
      <c r="G4" s="1201"/>
      <c r="H4" s="275" t="s">
        <v>861</v>
      </c>
      <c r="I4" s="1976">
        <f>ROUND(SUMIF('数据-基础表'!I9:AS9,"地上",'数据-基础表'!I5:AS5)/'数据-基础表'!A3,2)</f>
        <v>1.5</v>
      </c>
      <c r="J4" s="1984"/>
      <c r="K4" s="1984"/>
      <c r="L4" s="1984"/>
    </row>
    <row r="5" spans="1:16">
      <c r="A5" s="110" t="s">
        <v>207</v>
      </c>
      <c r="B5" s="3577" t="s">
        <v>230</v>
      </c>
      <c r="C5" s="3577"/>
      <c r="D5" s="111">
        <f>ROUND($D$3*E5/$E$3,2)</f>
        <v>22612.79</v>
      </c>
      <c r="E5" s="112">
        <f>SUMIF('数据-基础表'!$11:$11,"住宅",'数据-基础表'!$5:$5)</f>
        <v>53353.239999999991</v>
      </c>
      <c r="F5" s="1984"/>
      <c r="G5" s="280" t="s">
        <v>862</v>
      </c>
      <c r="H5" s="275" t="s">
        <v>860</v>
      </c>
      <c r="I5" s="1976">
        <f>ROUND(E31/D31,2)</f>
        <v>2.36</v>
      </c>
      <c r="J5" s="1984"/>
      <c r="K5" s="1984"/>
      <c r="L5" s="1984"/>
    </row>
    <row r="6" spans="1:16" ht="15" thickBot="1">
      <c r="A6" s="113"/>
      <c r="B6" s="3577" t="s">
        <v>208</v>
      </c>
      <c r="C6" s="3577"/>
      <c r="D6" s="111">
        <f>ROUND($D$3*E6/$E$3,2)</f>
        <v>12951.27</v>
      </c>
      <c r="E6" s="112">
        <f>E3-E5</f>
        <v>30557.570000000007</v>
      </c>
      <c r="F6" s="1984"/>
      <c r="G6" s="1201"/>
      <c r="H6" s="275" t="s">
        <v>861</v>
      </c>
      <c r="I6" s="1976">
        <f>ROUND(F31/D31,2)</f>
        <v>1.5</v>
      </c>
      <c r="J6" s="1984"/>
      <c r="K6" s="1984"/>
      <c r="L6" s="1984"/>
    </row>
    <row r="7" spans="1:16" ht="15">
      <c r="A7" s="3569"/>
      <c r="B7" s="3570"/>
      <c r="C7" s="3571"/>
      <c r="D7" s="108" t="s">
        <v>204</v>
      </c>
      <c r="E7" s="114" t="s">
        <v>231</v>
      </c>
      <c r="F7" s="1984"/>
      <c r="G7" s="1156" t="s">
        <v>1647</v>
      </c>
      <c r="H7" s="1157"/>
      <c r="I7" s="3482">
        <f>I6</f>
        <v>1.5</v>
      </c>
      <c r="J7" s="1984"/>
      <c r="K7" s="1984"/>
      <c r="L7" s="1984"/>
    </row>
    <row r="8" spans="1:16">
      <c r="A8" s="110" t="s">
        <v>209</v>
      </c>
      <c r="B8" s="115" t="s">
        <v>210</v>
      </c>
      <c r="C8" s="111" t="s">
        <v>211</v>
      </c>
      <c r="D8" s="111">
        <f t="shared" ref="D8:D15" si="0">ROUND($D$3*E8/$E$3,2)</f>
        <v>22612.79</v>
      </c>
      <c r="E8" s="116">
        <f>SUMIF('数据-基础表'!BB10:BK10,"地上",'数据-基础表'!BB5:BK5)</f>
        <v>53353.239999999991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12951.27</v>
      </c>
      <c r="E13" s="116">
        <f>SUMPRODUCT(('数据-基础表'!BB10:BK10="地下")*('数据-基础表'!BB11:BK11="车库")*('数据-基础表'!BB5:BK5))</f>
        <v>30557.57</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35564.06</v>
      </c>
      <c r="E16" s="120">
        <f>SUM(E8:E15)</f>
        <v>83910.81</v>
      </c>
      <c r="F16" s="1984"/>
      <c r="G16" s="1986"/>
      <c r="H16" s="968" t="s">
        <v>219</v>
      </c>
      <c r="I16" s="969"/>
      <c r="J16" s="1984"/>
      <c r="K16" s="3563" t="s">
        <v>2573</v>
      </c>
      <c r="L16" s="3564"/>
      <c r="M16" s="3564"/>
      <c r="N16" s="3564"/>
      <c r="O16" s="3564"/>
      <c r="P16" s="3565"/>
    </row>
    <row r="17" spans="1:19" ht="15">
      <c r="A17" s="121" t="s">
        <v>216</v>
      </c>
      <c r="B17" s="122" t="s">
        <v>217</v>
      </c>
      <c r="C17" s="2298" t="s">
        <v>2317</v>
      </c>
      <c r="D17" s="108" t="s">
        <v>204</v>
      </c>
      <c r="E17" s="124" t="s">
        <v>205</v>
      </c>
      <c r="F17" s="125"/>
      <c r="G17" s="1366"/>
      <c r="H17" s="970" t="s">
        <v>218</v>
      </c>
      <c r="I17" s="971" t="s">
        <v>2316</v>
      </c>
      <c r="J17" s="1984"/>
      <c r="K17" s="3566" t="s">
        <v>2574</v>
      </c>
      <c r="L17" s="3567"/>
      <c r="M17" s="3568"/>
      <c r="N17" s="3566" t="s">
        <v>2575</v>
      </c>
      <c r="O17" s="3567"/>
      <c r="P17" s="3568"/>
      <c r="R17" s="2299" t="s">
        <v>2315</v>
      </c>
      <c r="S17" s="144"/>
    </row>
    <row r="18" spans="1:19" ht="15">
      <c r="A18" s="117"/>
      <c r="B18" s="128"/>
      <c r="C18" s="129"/>
      <c r="D18" s="2665"/>
      <c r="E18" s="130" t="s">
        <v>220</v>
      </c>
      <c r="F18" s="131" t="s">
        <v>221</v>
      </c>
      <c r="G18" s="1367" t="s">
        <v>222</v>
      </c>
      <c r="H18" s="972" t="s">
        <v>223</v>
      </c>
      <c r="I18" s="973" t="s">
        <v>224</v>
      </c>
      <c r="J18" s="1984"/>
      <c r="K18" s="2627" t="s">
        <v>2576</v>
      </c>
      <c r="L18" s="2628" t="s">
        <v>2577</v>
      </c>
      <c r="M18" s="2629" t="s">
        <v>2578</v>
      </c>
      <c r="N18" s="2627" t="s">
        <v>2576</v>
      </c>
      <c r="O18" s="2628" t="s">
        <v>2577</v>
      </c>
      <c r="P18" s="2629" t="s">
        <v>2578</v>
      </c>
      <c r="R18" s="2300" t="s">
        <v>2313</v>
      </c>
      <c r="S18" s="2300" t="s">
        <v>2314</v>
      </c>
    </row>
    <row r="19" spans="1:19">
      <c r="A19" s="133"/>
      <c r="B19" s="115" t="s">
        <v>225</v>
      </c>
      <c r="C19" s="3046" t="s">
        <v>3243</v>
      </c>
      <c r="D19" s="111">
        <f t="shared" ref="D19:D26" si="1">ROUND($D$3*E19/$E$3,2)</f>
        <v>1896.19</v>
      </c>
      <c r="E19" s="134">
        <f t="shared" ref="E19:E26" si="2">SUM(F19:G19)</f>
        <v>4473.92</v>
      </c>
      <c r="F19" s="135">
        <f>'数据-基础表'!I13+'数据-基础表'!I16+'数据-基础表'!I18</f>
        <v>4473.92</v>
      </c>
      <c r="G19" s="1368"/>
      <c r="H19" s="974">
        <f>ROUND($D$3*I19/$E$3,2)</f>
        <v>0</v>
      </c>
      <c r="I19" s="116">
        <f>IF($I$17="自定义",P19,M19)</f>
        <v>0</v>
      </c>
      <c r="J19" s="1984"/>
      <c r="K19" s="2630">
        <f t="shared" ref="K19:K26" si="3">ROUND(E$28*E19/E$27,2)</f>
        <v>0</v>
      </c>
      <c r="L19" s="275">
        <f t="shared" ref="L19:L26" si="4">ROUND(IF(COUNTIF(C19,"*住宅*")&gt;0,E$29*E19/E$32,0),2)</f>
        <v>0</v>
      </c>
      <c r="M19" s="2631">
        <f>K19+L19</f>
        <v>0</v>
      </c>
      <c r="N19" s="2632"/>
      <c r="O19" s="2633"/>
      <c r="P19" s="2634">
        <f>N19+O19</f>
        <v>0</v>
      </c>
      <c r="R19" s="275">
        <f t="shared" ref="R19:S26" si="5">D19+H19</f>
        <v>1896.19</v>
      </c>
      <c r="S19" s="2301">
        <f t="shared" si="5"/>
        <v>4473.92</v>
      </c>
    </row>
    <row r="20" spans="1:19">
      <c r="A20" s="138"/>
      <c r="B20" s="115" t="s">
        <v>226</v>
      </c>
      <c r="C20" s="3046" t="s">
        <v>3244</v>
      </c>
      <c r="D20" s="111">
        <f t="shared" si="1"/>
        <v>20716.599999999999</v>
      </c>
      <c r="E20" s="134">
        <f t="shared" si="2"/>
        <v>48879.319999999992</v>
      </c>
      <c r="F20" s="135">
        <f>SUM('数据-基础表'!K14:K26)</f>
        <v>48879.319999999992</v>
      </c>
      <c r="G20" s="1368"/>
      <c r="H20" s="974">
        <f t="shared" ref="H20:H26" si="6">ROUND($D$3*I20/$E$3,2)</f>
        <v>0</v>
      </c>
      <c r="I20" s="116">
        <f t="shared" ref="I20:I26" si="7">IF($I$17="自定义",P20,M20)</f>
        <v>0</v>
      </c>
      <c r="J20" s="1984"/>
      <c r="K20" s="2630">
        <f t="shared" si="3"/>
        <v>0</v>
      </c>
      <c r="L20" s="275">
        <f t="shared" si="4"/>
        <v>0</v>
      </c>
      <c r="M20" s="2631">
        <f t="shared" ref="M20:M26" si="8">K20+L20</f>
        <v>0</v>
      </c>
      <c r="N20" s="2632"/>
      <c r="O20" s="2633"/>
      <c r="P20" s="2634">
        <f t="shared" ref="P20:P26" si="9">N20+O20</f>
        <v>0</v>
      </c>
      <c r="R20" s="275">
        <f t="shared" si="5"/>
        <v>20716.599999999999</v>
      </c>
      <c r="S20" s="2301">
        <f t="shared" si="5"/>
        <v>48879.319999999992</v>
      </c>
    </row>
    <row r="21" spans="1:19">
      <c r="A21" s="138"/>
      <c r="B21" s="115" t="s">
        <v>226</v>
      </c>
      <c r="C21" s="3046" t="s">
        <v>3290</v>
      </c>
      <c r="D21" s="111">
        <f t="shared" si="1"/>
        <v>12951.27</v>
      </c>
      <c r="E21" s="134">
        <f t="shared" si="2"/>
        <v>30557.57</v>
      </c>
      <c r="F21" s="135"/>
      <c r="G21" s="1368">
        <f>'数据-基础表'!M27</f>
        <v>30557.57</v>
      </c>
      <c r="H21" s="974">
        <f t="shared" si="6"/>
        <v>0</v>
      </c>
      <c r="I21" s="116">
        <f t="shared" si="7"/>
        <v>0</v>
      </c>
      <c r="J21" s="1984"/>
      <c r="K21" s="2630">
        <f t="shared" si="3"/>
        <v>0</v>
      </c>
      <c r="L21" s="275">
        <f t="shared" si="4"/>
        <v>0</v>
      </c>
      <c r="M21" s="2631">
        <f t="shared" si="8"/>
        <v>0</v>
      </c>
      <c r="N21" s="2632"/>
      <c r="O21" s="2633"/>
      <c r="P21" s="2634">
        <f t="shared" si="9"/>
        <v>0</v>
      </c>
      <c r="R21" s="275">
        <f t="shared" si="5"/>
        <v>12951.27</v>
      </c>
      <c r="S21" s="2301">
        <f t="shared" si="5"/>
        <v>30557.57</v>
      </c>
    </row>
    <row r="22" spans="1:19">
      <c r="A22" s="138"/>
      <c r="B22" s="115" t="s">
        <v>226</v>
      </c>
      <c r="C22" s="1365"/>
      <c r="D22" s="111">
        <f t="shared" si="1"/>
        <v>0</v>
      </c>
      <c r="E22" s="134">
        <f t="shared" si="2"/>
        <v>0</v>
      </c>
      <c r="F22" s="140"/>
      <c r="G22" s="1369"/>
      <c r="H22" s="974">
        <f t="shared" si="6"/>
        <v>0</v>
      </c>
      <c r="I22" s="116">
        <f t="shared" si="7"/>
        <v>0</v>
      </c>
      <c r="J22" s="1984"/>
      <c r="K22" s="2630">
        <f t="shared" si="3"/>
        <v>0</v>
      </c>
      <c r="L22" s="275">
        <f t="shared" si="4"/>
        <v>0</v>
      </c>
      <c r="M22" s="2631">
        <f t="shared" si="8"/>
        <v>0</v>
      </c>
      <c r="N22" s="2632"/>
      <c r="O22" s="2633"/>
      <c r="P22" s="2634">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630">
        <f t="shared" si="3"/>
        <v>0</v>
      </c>
      <c r="L23" s="275">
        <f t="shared" si="4"/>
        <v>0</v>
      </c>
      <c r="M23" s="2631">
        <f t="shared" si="8"/>
        <v>0</v>
      </c>
      <c r="N23" s="2632"/>
      <c r="O23" s="2633"/>
      <c r="P23" s="2634">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630">
        <f t="shared" si="3"/>
        <v>0</v>
      </c>
      <c r="L24" s="275">
        <f t="shared" si="4"/>
        <v>0</v>
      </c>
      <c r="M24" s="2631">
        <f t="shared" si="8"/>
        <v>0</v>
      </c>
      <c r="N24" s="2632"/>
      <c r="O24" s="2633"/>
      <c r="P24" s="2634">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630">
        <f t="shared" si="3"/>
        <v>0</v>
      </c>
      <c r="L25" s="275">
        <f t="shared" si="4"/>
        <v>0</v>
      </c>
      <c r="M25" s="2631">
        <f t="shared" si="8"/>
        <v>0</v>
      </c>
      <c r="N25" s="2632"/>
      <c r="O25" s="2633"/>
      <c r="P25" s="2634">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635">
        <f t="shared" si="3"/>
        <v>0</v>
      </c>
      <c r="L26" s="280">
        <f t="shared" si="4"/>
        <v>0</v>
      </c>
      <c r="M26" s="146">
        <f t="shared" si="8"/>
        <v>0</v>
      </c>
      <c r="N26" s="2636"/>
      <c r="O26" s="2637"/>
      <c r="P26" s="2638">
        <f t="shared" si="9"/>
        <v>0</v>
      </c>
      <c r="R26" s="275">
        <f t="shared" si="5"/>
        <v>0</v>
      </c>
      <c r="S26" s="2301">
        <f t="shared" si="5"/>
        <v>0</v>
      </c>
    </row>
    <row r="27" spans="1:19" ht="15.75" thickBot="1">
      <c r="A27" s="138"/>
      <c r="B27" s="111"/>
      <c r="C27" s="127" t="s">
        <v>215</v>
      </c>
      <c r="D27" s="134">
        <f>SUM(D19:D26)</f>
        <v>35564.06</v>
      </c>
      <c r="E27" s="143">
        <f>IF(SUM(E19:E26)='数据-基础表'!BA5,SUM(E19:E26),IF(F27="地上面积有误","面积有误","地下面积有误"))</f>
        <v>83910.81</v>
      </c>
      <c r="F27" s="134">
        <f>IF(SUM(F19:F26)=E8,SUM(F19:F26),"地上面积有误")</f>
        <v>53353.239999999991</v>
      </c>
      <c r="G27" s="112">
        <f>SUM(G19:G26)</f>
        <v>30557.57</v>
      </c>
      <c r="H27" s="975">
        <f>SUM(H19:H26)</f>
        <v>0</v>
      </c>
      <c r="I27" s="976">
        <f>SUM(I19:I26)</f>
        <v>0</v>
      </c>
      <c r="J27" s="1984"/>
      <c r="K27" s="2639">
        <f>SUM(K19:K26)</f>
        <v>0</v>
      </c>
      <c r="L27" s="2640">
        <f>SUM(L19:L26)</f>
        <v>0</v>
      </c>
      <c r="M27" s="2641">
        <f>SUM(M19:M26)</f>
        <v>0</v>
      </c>
      <c r="N27" s="2639">
        <f t="shared" ref="N27:O27" si="10">SUM(N19:N26)</f>
        <v>0</v>
      </c>
      <c r="O27" s="2640">
        <f t="shared" si="10"/>
        <v>0</v>
      </c>
      <c r="P27" s="2642">
        <f>SUM(P19:P26)</f>
        <v>0</v>
      </c>
      <c r="R27" s="2305">
        <f>IF(SUM(R19:R26)=$D$3,SUM(R19:R26),SUM(R19:R26)&amp;"误差"&amp;ROUND(SUM(R19:R26)-$D$3,2))</f>
        <v>35564.06</v>
      </c>
      <c r="S27" s="275">
        <f>IF(SUM(S19:S26)=$E$3,SUM(S19:S26),SUM(S19:S26)&amp;"误差"&amp;ROUND(SUM(S19:S26)-E3,2))</f>
        <v>83910.81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35564.06</v>
      </c>
      <c r="E31" s="1372">
        <f>E27+E30</f>
        <v>83910.81</v>
      </c>
      <c r="F31" s="1373">
        <f>F27+F30</f>
        <v>53353.239999999991</v>
      </c>
      <c r="G31" s="1374">
        <f>G27+G30</f>
        <v>30557.57</v>
      </c>
      <c r="H31" s="1984"/>
      <c r="I31" s="1984"/>
      <c r="J31" s="1984"/>
      <c r="K31" s="1984"/>
      <c r="L31" s="1984"/>
    </row>
    <row r="32" spans="1:19">
      <c r="A32" s="1984"/>
      <c r="B32" s="2363" t="s">
        <v>2325</v>
      </c>
      <c r="C32" s="2670"/>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18" activePane="bottomRight" state="frozen"/>
      <selection pane="topRight" activeCell="D1" sqref="D1"/>
      <selection pane="bottomLeft" activeCell="A4" sqref="A4"/>
      <selection pane="bottomRight" activeCell="B35" sqref="B3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43136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3"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3"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合院</v>
      </c>
      <c r="B6" s="2337" t="str">
        <f>IF(A6=0,"","经营性")</f>
        <v>经营性</v>
      </c>
      <c r="C6" s="173" t="s">
        <v>924</v>
      </c>
      <c r="D6" s="2308">
        <f>SUMIF(项目基本情况!D$15:I$15,C6,项目基本情况!D$18:I$18)</f>
        <v>70</v>
      </c>
      <c r="E6" s="2309">
        <f>IF(B6="","",SUMIF(项目基本情况!D$15:I$15,C6,项目基本情况!D$17:I$17))</f>
        <v>68703</v>
      </c>
      <c r="F6" s="174">
        <f>SUMIF(项目基本情况!D$15:I$15,C6,项目基本情况!D$19:I$19)</f>
        <v>70</v>
      </c>
      <c r="G6" s="175">
        <f>IF(ISERROR(ROUND(POWER(1+H6,D6-F6)*(POWER(1+H6,F6)-1)/(POWER(1+H6,D6)-1),3)),0,ROUND(POWER(1+H6,D6-F6)*(POWER(1+H6,F6)-1)/(POWER(1+H6,D6)-1),3))</f>
        <v>1</v>
      </c>
      <c r="H6" s="3047">
        <v>4.4999999999999998E-2</v>
      </c>
      <c r="I6" s="3047">
        <v>0.05</v>
      </c>
      <c r="J6" s="176">
        <v>8.5000000000000006E-2</v>
      </c>
      <c r="K6" s="179">
        <f>SUMIF('数据-汇总表'!C$19:C$33,'数据-取费表'!A6,'数据-汇总表'!E$19:E$33)</f>
        <v>4473.92</v>
      </c>
      <c r="L6" s="3048">
        <v>2000</v>
      </c>
      <c r="M6" s="177">
        <f t="shared" ref="M6:M14" si="0">ROUND(K6*L6/10000,0)</f>
        <v>895</v>
      </c>
      <c r="N6" s="3049">
        <v>0</v>
      </c>
      <c r="O6" s="177">
        <f>IF($N$5="成新度","——",ROUND(M6*N6,0))</f>
        <v>0</v>
      </c>
      <c r="P6" s="178">
        <f>IF($N$5="成新度","——",M6-O6)</f>
        <v>895</v>
      </c>
      <c r="Q6" s="3050">
        <v>0.25</v>
      </c>
      <c r="R6" s="179">
        <f>SUMIF('数据-汇总表'!C$19:C$33,A6,'数据-汇总表'!R$19:R$33)</f>
        <v>1896.19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1"/>
      <c r="AN6" s="2414"/>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叠拼</v>
      </c>
      <c r="B7" s="2337" t="str">
        <f t="shared" ref="B7:B13" si="1">IF(A7=0,"","经营性")</f>
        <v>经营性</v>
      </c>
      <c r="C7" s="173" t="s">
        <v>924</v>
      </c>
      <c r="D7" s="2308">
        <f>SUMIF(项目基本情况!D$15:I$15,C7,项目基本情况!D$18:I$18)</f>
        <v>70</v>
      </c>
      <c r="E7" s="2309">
        <f>IF(B7="","",SUMIF(项目基本情况!D$15:I$15,C7,项目基本情况!D$17:I$17))</f>
        <v>68703</v>
      </c>
      <c r="F7" s="174">
        <f>SUMIF(项目基本情况!D$15:I$15,C7,项目基本情况!D$19:I$19)</f>
        <v>70</v>
      </c>
      <c r="G7" s="175">
        <f t="shared" ref="G7:G11" si="2">IF(ISERROR(ROUND(POWER(1+H7,D7-F7)*(POWER(1+H7,F7)-1)/(POWER(1+H7,D7)-1),3)),0,ROUND(POWER(1+H7,D7-F7)*(POWER(1+H7,F7)-1)/(POWER(1+H7,D7)-1),3))</f>
        <v>1</v>
      </c>
      <c r="H7" s="3047">
        <v>4.4999999999999998E-2</v>
      </c>
      <c r="I7" s="3047">
        <v>0.05</v>
      </c>
      <c r="J7" s="176">
        <v>8.5000000000000006E-2</v>
      </c>
      <c r="K7" s="179">
        <f>SUMIF('数据-汇总表'!C$19:C$33,'数据-取费表'!A7,'数据-汇总表'!E$19:E$33)</f>
        <v>48879.319999999992</v>
      </c>
      <c r="L7" s="3048">
        <v>1800</v>
      </c>
      <c r="M7" s="177">
        <f t="shared" si="0"/>
        <v>8798</v>
      </c>
      <c r="N7" s="3049">
        <v>0</v>
      </c>
      <c r="O7" s="177">
        <f t="shared" ref="O7:O14" si="3">IF($N$5="成新度","——",ROUND(M7*N7,0))</f>
        <v>0</v>
      </c>
      <c r="P7" s="178">
        <f t="shared" ref="P7:P14" si="4">IF($N$5="成新度","——",M7-O7)</f>
        <v>8798</v>
      </c>
      <c r="Q7" s="3050">
        <v>0.15</v>
      </c>
      <c r="R7" s="179">
        <f>SUMIF('数据-汇总表'!C$19:C$33,A7,'数据-汇总表'!R$19:R$33)</f>
        <v>20716.599999999999</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2"/>
      <c r="AN7" s="2414"/>
      <c r="AO7" s="2000"/>
      <c r="AP7" s="1204">
        <f t="shared" ref="AP7:AP13" si="8">ROUND(1-1/(1+H7)^F7,3)</f>
        <v>0.95399999999999996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3287</v>
      </c>
      <c r="D8" s="2308">
        <f>SUMIF(项目基本情况!D$15:I$15,C8,项目基本情况!D$18:I$18)</f>
        <v>50</v>
      </c>
      <c r="E8" s="2309">
        <f>IF(B8="","",SUMIF(项目基本情况!D$15:I$15,C8,项目基本情况!D$17:I$17))</f>
        <v>61388</v>
      </c>
      <c r="F8" s="174">
        <f>SUMIF(项目基本情况!D$15:I$15,C8,项目基本情况!D$19:I$19)</f>
        <v>50</v>
      </c>
      <c r="G8" s="175">
        <f t="shared" si="2"/>
        <v>1</v>
      </c>
      <c r="H8" s="3047">
        <v>0.04</v>
      </c>
      <c r="I8" s="3047">
        <v>4.4999999999999998E-2</v>
      </c>
      <c r="J8" s="176">
        <v>8.5000000000000006E-2</v>
      </c>
      <c r="K8" s="179">
        <f>SUMIF('数据-汇总表'!C$19:C$33,'数据-取费表'!A8,'数据-汇总表'!E$19:E$33)</f>
        <v>30557.57</v>
      </c>
      <c r="L8" s="3048">
        <v>1800</v>
      </c>
      <c r="M8" s="177">
        <f>ROUND(K8*L8/10000,0)</f>
        <v>5500</v>
      </c>
      <c r="N8" s="3049">
        <v>0</v>
      </c>
      <c r="O8" s="177">
        <f t="shared" si="3"/>
        <v>0</v>
      </c>
      <c r="P8" s="178">
        <f t="shared" si="4"/>
        <v>5500</v>
      </c>
      <c r="Q8" s="3050">
        <v>0.03</v>
      </c>
      <c r="R8" s="179">
        <f>SUMIF('数据-汇总表'!C$19:C$33,A8,'数据-汇总表'!R$19:R$33)</f>
        <v>12951.27</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t="e">
        <f t="shared" ca="1" si="6"/>
        <v>#REF!</v>
      </c>
      <c r="AF8" s="141"/>
      <c r="AG8" s="1213">
        <f t="shared" si="7"/>
        <v>0</v>
      </c>
      <c r="AH8" s="141"/>
      <c r="AI8" s="187">
        <v>365</v>
      </c>
      <c r="AJ8" s="188"/>
      <c r="AK8" s="189">
        <v>1.4999999999999999E-2</v>
      </c>
      <c r="AL8" s="190">
        <v>1.5E-3</v>
      </c>
      <c r="AM8" s="2412">
        <v>0.01</v>
      </c>
      <c r="AN8" s="2414" t="s">
        <v>3291</v>
      </c>
      <c r="AO8" s="2000"/>
      <c r="AP8" s="1204">
        <f t="shared" si="8"/>
        <v>0.85899999999999999</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2"/>
      <c r="AN9" s="2414"/>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2"/>
      <c r="AN10" s="2414"/>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414"/>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414"/>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2"/>
      <c r="AN13" s="2414"/>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3048">
        <v>1800</v>
      </c>
      <c r="M14" s="177">
        <f t="shared" si="0"/>
        <v>0</v>
      </c>
      <c r="N14" s="3049">
        <v>0</v>
      </c>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4.2999999999999997E-2</v>
      </c>
      <c r="I16" s="204"/>
      <c r="J16" s="204"/>
      <c r="K16" s="205">
        <f>SUM(K6:K15)</f>
        <v>83910.81</v>
      </c>
      <c r="L16" s="206">
        <f>ROUND(M16*10000/SUM(K6:K14),0)</f>
        <v>1811</v>
      </c>
      <c r="M16" s="206">
        <f>SUM(M6:M14)</f>
        <v>15193</v>
      </c>
      <c r="N16" s="207">
        <f>ROUND(SUMPRODUCT(M6:M14,N6:N14)/M16,3)</f>
        <v>0</v>
      </c>
      <c r="O16" s="206">
        <f>SUM(O6:O14)</f>
        <v>0</v>
      </c>
      <c r="P16" s="206">
        <f>SUM(P6:P14)</f>
        <v>15193</v>
      </c>
      <c r="Q16" s="208">
        <f>ROUND(SUMPRODUCT(Q6:Q13,K6:K13)/SUMPRODUCT((Q6:Q13&gt;0)*(K6:K13)),2)</f>
        <v>0.11</v>
      </c>
      <c r="R16" s="2311">
        <f>SUM(R6:R13)</f>
        <v>35564.06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0.91900000000000004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3"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65"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2902</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1.4999999999999999E-2</v>
      </c>
      <c r="C37" s="2365"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1"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1" t="s">
        <v>2463</v>
      </c>
      <c r="B40" s="2503">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6"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97"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7"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1098</v>
      </c>
      <c r="C53" s="3098" t="s">
        <v>2912</v>
      </c>
      <c r="D53" s="3099" t="s">
        <v>2913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2914</v>
      </c>
      <c r="B54" s="186">
        <v>8</v>
      </c>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2915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2916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2917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2918</v>
      </c>
      <c r="B58" s="186"/>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2919</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2920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2921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2922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2923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8" t="s">
        <v>1665</v>
      </c>
      <c r="B1" s="3579"/>
      <c r="C1" s="3579"/>
      <c r="D1" s="3579"/>
      <c r="E1" s="3579"/>
      <c r="F1" s="3579"/>
      <c r="G1" s="3579"/>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42.75">
      <c r="A3" s="1227" t="s">
        <v>1668</v>
      </c>
      <c r="B3" s="1228" t="s">
        <v>1655</v>
      </c>
      <c r="C3" s="3476" t="s">
        <v>3250</v>
      </c>
      <c r="D3" s="2009"/>
      <c r="E3" s="1229" t="s">
        <v>1668</v>
      </c>
      <c r="F3" s="1230" t="s">
        <v>1656</v>
      </c>
      <c r="G3" s="3106" t="s">
        <v>2928</v>
      </c>
      <c r="H3" s="2008"/>
      <c r="I3" s="2008"/>
      <c r="J3" s="2008"/>
      <c r="K3" s="2008"/>
      <c r="L3" s="2008"/>
      <c r="M3" s="2008"/>
      <c r="N3" s="2008"/>
      <c r="O3" s="2008"/>
      <c r="P3" s="2008"/>
      <c r="Q3" s="2008"/>
      <c r="R3" s="2008"/>
    </row>
    <row r="4" spans="1:18" ht="41.25">
      <c r="A4" s="1229"/>
      <c r="B4" s="1231" t="s">
        <v>1669</v>
      </c>
      <c r="C4" s="3103" t="s">
        <v>2929</v>
      </c>
      <c r="D4" s="2009"/>
      <c r="E4" s="1232"/>
      <c r="F4" s="1233" t="s">
        <v>1670</v>
      </c>
      <c r="G4" s="3104" t="s">
        <v>2925</v>
      </c>
      <c r="H4" s="2008"/>
      <c r="I4" s="2008"/>
      <c r="J4" s="2008"/>
      <c r="K4" s="2008"/>
      <c r="L4" s="2008"/>
      <c r="M4" s="2008"/>
      <c r="N4" s="2008"/>
      <c r="O4" s="2008"/>
      <c r="P4" s="2008"/>
      <c r="Q4" s="2008"/>
      <c r="R4" s="2008"/>
    </row>
    <row r="5" spans="1:18" ht="41.25">
      <c r="A5" s="1229"/>
      <c r="B5" s="1231" t="s">
        <v>1671</v>
      </c>
      <c r="C5" s="3103" t="s">
        <v>2930</v>
      </c>
      <c r="D5" s="2009"/>
      <c r="E5" s="1232"/>
      <c r="F5" s="1231" t="s">
        <v>2553</v>
      </c>
      <c r="G5" s="3104" t="s">
        <v>2926</v>
      </c>
      <c r="H5" s="2008"/>
      <c r="I5" s="2008"/>
      <c r="J5" s="2008"/>
      <c r="K5" s="2008"/>
      <c r="L5" s="2008"/>
      <c r="M5" s="2008"/>
      <c r="N5" s="2008"/>
      <c r="O5" s="2008"/>
      <c r="P5" s="2008"/>
      <c r="Q5" s="2008"/>
      <c r="R5" s="2008"/>
    </row>
    <row r="6" spans="1:18" ht="54">
      <c r="A6" s="1229"/>
      <c r="B6" s="1231" t="s">
        <v>1657</v>
      </c>
      <c r="C6" s="3104" t="s">
        <v>2925</v>
      </c>
      <c r="D6" s="2009"/>
      <c r="E6" s="1232"/>
      <c r="F6" s="1231" t="s">
        <v>2554</v>
      </c>
      <c r="G6" s="3104" t="s">
        <v>2924</v>
      </c>
      <c r="H6" s="2008"/>
      <c r="I6" s="2008"/>
      <c r="J6" s="2008"/>
      <c r="K6" s="2008"/>
      <c r="L6" s="2008"/>
      <c r="M6" s="2008"/>
      <c r="N6" s="2008"/>
      <c r="O6" s="2008"/>
      <c r="P6" s="2008"/>
      <c r="Q6" s="2008"/>
      <c r="R6" s="2008"/>
    </row>
    <row r="7" spans="1:18" ht="54.75" thickBot="1">
      <c r="A7" s="1229"/>
      <c r="B7" s="1231" t="s">
        <v>2553</v>
      </c>
      <c r="C7" s="3478" t="s">
        <v>3256</v>
      </c>
      <c r="D7" s="2010"/>
      <c r="E7" s="1234"/>
      <c r="F7" s="1235" t="s">
        <v>1672</v>
      </c>
      <c r="G7" s="3107" t="s">
        <v>2927</v>
      </c>
      <c r="H7" s="2008"/>
      <c r="I7" s="2008"/>
      <c r="J7" s="2008"/>
      <c r="K7" s="2008"/>
      <c r="L7" s="2008"/>
      <c r="M7" s="2008"/>
      <c r="N7" s="2008"/>
      <c r="O7" s="2008"/>
      <c r="P7" s="2008"/>
      <c r="Q7" s="2008"/>
      <c r="R7" s="2008"/>
    </row>
    <row r="8" spans="1:18" ht="27">
      <c r="A8" s="1229"/>
      <c r="B8" s="1231" t="s">
        <v>2554</v>
      </c>
      <c r="C8" s="3104" t="s">
        <v>2924</v>
      </c>
      <c r="D8" s="2010"/>
      <c r="E8" s="2010"/>
      <c r="F8" s="1554"/>
      <c r="G8" s="1554"/>
      <c r="H8" s="2008"/>
      <c r="I8" s="2008"/>
      <c r="J8" s="2008"/>
      <c r="K8" s="2008"/>
      <c r="L8" s="2008"/>
      <c r="M8" s="2008"/>
      <c r="N8" s="2008"/>
      <c r="O8" s="2008"/>
      <c r="P8" s="2008"/>
      <c r="Q8" s="2008"/>
      <c r="R8" s="2008"/>
    </row>
    <row r="9" spans="1:18">
      <c r="A9" s="1229"/>
      <c r="B9" s="1231" t="s">
        <v>1658</v>
      </c>
      <c r="C9" s="3477" t="s">
        <v>3255</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0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0"/>
      <c r="E12" s="2009"/>
      <c r="F12" s="2010"/>
      <c r="G12" s="2012"/>
      <c r="H12" s="2017"/>
      <c r="I12" s="2018"/>
      <c r="J12" s="2017"/>
      <c r="K12" s="2017"/>
      <c r="L12" s="2019"/>
      <c r="M12" s="2017"/>
      <c r="N12" s="2020"/>
      <c r="O12" s="2021"/>
      <c r="P12" s="2022"/>
      <c r="Q12" s="2020"/>
      <c r="R12" s="2006"/>
    </row>
    <row r="13" spans="1:18" ht="19.5" thickBot="1">
      <c r="A13" s="2599" t="s">
        <v>1674</v>
      </c>
      <c r="B13" s="2600"/>
      <c r="C13" s="2600"/>
      <c r="D13" s="1224"/>
      <c r="E13" s="2600"/>
      <c r="F13" s="2600"/>
      <c r="G13" s="2600"/>
    </row>
    <row r="14" spans="1:18" ht="14.25" thickBot="1">
      <c r="A14" s="1238"/>
      <c r="B14" s="1239"/>
      <c r="C14" s="1240" t="s">
        <v>1666</v>
      </c>
      <c r="D14" s="2009"/>
      <c r="E14" s="1241"/>
      <c r="F14" s="1241"/>
      <c r="G14" s="1223" t="s">
        <v>1667</v>
      </c>
    </row>
    <row r="15" spans="1:18" ht="40.5">
      <c r="A15" s="2610" t="s">
        <v>1659</v>
      </c>
      <c r="B15" s="1242" t="s">
        <v>1655</v>
      </c>
      <c r="C15" s="1243" t="str">
        <f>C3</f>
        <v>3.7公里 绿地香湖湾</v>
      </c>
      <c r="D15" s="2009"/>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9"/>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10"/>
      <c r="E17" s="2608"/>
      <c r="F17" s="1247" t="s">
        <v>1676</v>
      </c>
      <c r="G17" s="2817"/>
    </row>
    <row r="18" spans="1:7" ht="54">
      <c r="A18" s="2611"/>
      <c r="B18" s="1247" t="s">
        <v>1657</v>
      </c>
      <c r="C18" s="1005" t="str">
        <f>C6</f>
        <v>估价对象周边道路状况、公共交通通达情况、停车便捷程度，综合评价交通便捷度较好</v>
      </c>
      <c r="D18" s="2010"/>
      <c r="E18" s="2608"/>
      <c r="F18" s="1247" t="s">
        <v>1672</v>
      </c>
      <c r="G18" s="1005" t="str">
        <f>G7</f>
        <v>该园区内是否有污染型企业，绿化情况，卫生条件，整体环境状况判断</v>
      </c>
    </row>
    <row r="19" spans="1:7" ht="27">
      <c r="A19" s="2611"/>
      <c r="B19" s="1247" t="s">
        <v>1661</v>
      </c>
      <c r="C19" s="2817"/>
      <c r="D19" s="2009"/>
      <c r="E19" s="2608"/>
      <c r="F19" s="1231" t="s">
        <v>2553</v>
      </c>
      <c r="G19" s="1005" t="str">
        <f>G5</f>
        <v>估价对象所在区域公共配套设施齐备情况</v>
      </c>
    </row>
    <row r="20" spans="1:7" ht="27">
      <c r="A20" s="2611"/>
      <c r="B20" s="1247" t="s">
        <v>1662</v>
      </c>
      <c r="C20" s="1246" t="str">
        <f>C9</f>
        <v>1.8公里双鹤湖公园、</v>
      </c>
      <c r="D20" s="2010"/>
      <c r="E20" s="2608"/>
      <c r="F20" s="1231" t="s">
        <v>2554</v>
      </c>
      <c r="G20" s="1005" t="str">
        <f>G6</f>
        <v>估价对象所在区域基础设施水平</v>
      </c>
    </row>
    <row r="21" spans="1:7" ht="54">
      <c r="A21" s="2611"/>
      <c r="B21" s="1231" t="s">
        <v>2553</v>
      </c>
      <c r="C21" s="1005" t="str">
        <f>C7</f>
        <v>无医院、1公里内八千乡刘店完全小学；1.9公里邮政三农服务站(湾左村卫生所西南)</v>
      </c>
      <c r="D21" s="2009"/>
      <c r="E21" s="2608"/>
      <c r="F21" s="1247" t="s">
        <v>1663</v>
      </c>
      <c r="G21" s="3108"/>
    </row>
    <row r="22" spans="1:7" ht="27">
      <c r="A22" s="2611"/>
      <c r="B22" s="1231" t="s">
        <v>2554</v>
      </c>
      <c r="C22" s="1005" t="str">
        <f>C8</f>
        <v>估价对象所在区域基础设施水平</v>
      </c>
      <c r="D22" s="2009"/>
      <c r="E22" s="2608"/>
      <c r="F22" s="1247" t="s">
        <v>1673</v>
      </c>
      <c r="G22" s="2817"/>
    </row>
    <row r="23" spans="1:7" ht="15" thickBot="1">
      <c r="A23" s="2611"/>
      <c r="B23" s="1247" t="s">
        <v>1663</v>
      </c>
      <c r="C23" s="3108"/>
      <c r="E23" s="2609"/>
      <c r="F23" s="1248" t="s">
        <v>1677</v>
      </c>
      <c r="G23" s="3109"/>
    </row>
    <row r="24" spans="1:7" ht="14.25" thickBot="1">
      <c r="A24" s="2612"/>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9" sqref="H9"/>
    </sheetView>
  </sheetViews>
  <sheetFormatPr defaultColWidth="14.625" defaultRowHeight="13.5"/>
  <cols>
    <col min="1" max="1" width="24.375" customWidth="1"/>
  </cols>
  <sheetData>
    <row r="1" spans="1:9" ht="16.5">
      <c r="A1" s="3067" t="s">
        <v>2851</v>
      </c>
      <c r="B1" s="3067">
        <f>SUM(B14:B23)</f>
        <v>166058.32999999999</v>
      </c>
      <c r="C1" s="3068"/>
      <c r="D1" s="3068"/>
      <c r="E1" s="3068"/>
      <c r="F1" s="3068"/>
    </row>
    <row r="2" spans="1:9" ht="16.5">
      <c r="A2" s="3067" t="s">
        <v>2852</v>
      </c>
      <c r="B2" s="3067">
        <f>SUM(C14:C23)</f>
        <v>70054.36</v>
      </c>
      <c r="C2" s="3068"/>
      <c r="D2" s="3068"/>
      <c r="E2" s="3068"/>
      <c r="F2" s="3068"/>
    </row>
    <row r="3" spans="1:9" ht="16.5">
      <c r="A3" s="3067" t="s">
        <v>2853</v>
      </c>
      <c r="B3" s="3069">
        <f>项目基本情况!D3</f>
        <v>43136</v>
      </c>
      <c r="C3" s="3068"/>
      <c r="D3" s="3068"/>
      <c r="E3" s="3068"/>
      <c r="F3" s="3068"/>
    </row>
    <row r="4" spans="1:9" ht="33">
      <c r="A4" s="3067" t="s">
        <v>2854</v>
      </c>
      <c r="B4" s="3067" t="s">
        <v>2855</v>
      </c>
      <c r="C4" s="3067" t="s">
        <v>2856</v>
      </c>
      <c r="D4" s="3067" t="s">
        <v>2857</v>
      </c>
      <c r="E4" s="3068"/>
      <c r="F4" s="3068"/>
    </row>
    <row r="5" spans="1:9" ht="16.5">
      <c r="A5" s="3067" t="s">
        <v>2858</v>
      </c>
      <c r="B5" s="3067">
        <f ca="1">SUM(D14:D23)</f>
        <v>45097</v>
      </c>
      <c r="C5" s="3067">
        <f ca="1">ROUND(B5*10000/$B$1,0)</f>
        <v>2716</v>
      </c>
      <c r="D5" s="3067">
        <f ca="1">ROUND(B5*10000/$B$2,0)</f>
        <v>6437</v>
      </c>
      <c r="E5" s="3068"/>
      <c r="F5" s="3068"/>
    </row>
    <row r="6" spans="1:9" ht="16.5">
      <c r="A6" s="3067" t="s">
        <v>2859</v>
      </c>
      <c r="B6" s="3067">
        <f>SUM(G14:G23)</f>
        <v>0</v>
      </c>
      <c r="C6" s="3067">
        <f t="shared" ref="C6:C8" si="0">ROUND(B6*10000/$B$1,0)</f>
        <v>0</v>
      </c>
      <c r="D6" s="3067">
        <f t="shared" ref="D6:D8" si="1">ROUND(B6*10000/$B$2,0)</f>
        <v>0</v>
      </c>
      <c r="E6" s="3068"/>
      <c r="F6" s="3068"/>
    </row>
    <row r="7" spans="1:9" ht="16.5">
      <c r="A7" s="3067" t="s">
        <v>2860</v>
      </c>
      <c r="B7" s="3067">
        <f>SUM(H14:H23)</f>
        <v>0</v>
      </c>
      <c r="C7" s="3067">
        <f t="shared" si="0"/>
        <v>0</v>
      </c>
      <c r="D7" s="3067">
        <f t="shared" si="1"/>
        <v>0</v>
      </c>
      <c r="E7" s="3068"/>
      <c r="F7" s="3068"/>
    </row>
    <row r="8" spans="1:9" ht="16.5">
      <c r="A8" s="3067" t="s">
        <v>2861</v>
      </c>
      <c r="B8" s="3067">
        <f>SUM(I14:I23)</f>
        <v>0</v>
      </c>
      <c r="C8" s="3067">
        <f t="shared" si="0"/>
        <v>0</v>
      </c>
      <c r="D8" s="3067">
        <f t="shared" si="1"/>
        <v>0</v>
      </c>
      <c r="E8" s="3068"/>
      <c r="F8" s="3068"/>
    </row>
    <row r="9" spans="1:9" ht="16.5">
      <c r="A9" s="3067" t="s">
        <v>2862</v>
      </c>
      <c r="B9" s="3070"/>
      <c r="C9" s="3068"/>
      <c r="D9" s="3068"/>
      <c r="E9" s="3068"/>
      <c r="F9" s="3068"/>
    </row>
    <row r="10" spans="1:9" ht="16.5">
      <c r="A10" s="3067" t="s">
        <v>2863</v>
      </c>
      <c r="B10" s="3070"/>
      <c r="C10" s="3068"/>
      <c r="D10" s="3068"/>
      <c r="E10" s="3068"/>
      <c r="F10" s="3068"/>
    </row>
    <row r="11" spans="1:9" ht="16.5">
      <c r="A11" s="3067" t="s">
        <v>2880</v>
      </c>
      <c r="B11" s="3070"/>
      <c r="C11" s="3068"/>
      <c r="D11" s="3068"/>
      <c r="E11" s="3068"/>
      <c r="F11" s="3068"/>
    </row>
    <row r="12" spans="1:9" ht="16.5">
      <c r="A12" s="3068"/>
      <c r="B12" s="3068"/>
      <c r="C12" s="3068"/>
      <c r="D12" s="3068"/>
      <c r="E12" s="3068"/>
      <c r="F12" s="3068"/>
    </row>
    <row r="13" spans="1:9" ht="33">
      <c r="A13" s="3073" t="s">
        <v>2879</v>
      </c>
      <c r="B13" s="3071" t="s">
        <v>2851</v>
      </c>
      <c r="C13" s="3071" t="s">
        <v>2852</v>
      </c>
      <c r="D13" s="3071" t="s">
        <v>2864</v>
      </c>
      <c r="E13" s="3067" t="s">
        <v>2878</v>
      </c>
      <c r="F13" s="3067" t="s">
        <v>2857</v>
      </c>
      <c r="G13" s="3071" t="s">
        <v>2865</v>
      </c>
      <c r="H13" s="3071" t="s">
        <v>2866</v>
      </c>
      <c r="I13" s="3071" t="s">
        <v>2867</v>
      </c>
    </row>
    <row r="14" spans="1:9" ht="16.5">
      <c r="A14" s="3074" t="s">
        <v>2877</v>
      </c>
      <c r="B14" s="3071">
        <f>结果表!L38</f>
        <v>83910.81</v>
      </c>
      <c r="C14" s="3071">
        <f>结果表!K38</f>
        <v>35564.06</v>
      </c>
      <c r="D14" s="3071">
        <f ca="1">结果表!C42</f>
        <v>22721</v>
      </c>
      <c r="E14" s="3071">
        <f ca="1">ROUND(D14*10000/B14,0)</f>
        <v>2708</v>
      </c>
      <c r="F14" s="3071">
        <f ca="1">ROUND(D14*10000/C14,0)</f>
        <v>6389</v>
      </c>
      <c r="G14" s="3071" t="str">
        <f>结果表!C44</f>
        <v>——</v>
      </c>
      <c r="H14" s="3071" t="str">
        <f>结果表!C45</f>
        <v>——</v>
      </c>
      <c r="I14" s="3071" t="str">
        <f>结果表!C46</f>
        <v>——</v>
      </c>
    </row>
    <row r="15" spans="1:9" ht="16.5">
      <c r="A15" s="3074" t="s">
        <v>2868</v>
      </c>
      <c r="B15" s="3075">
        <f>[2]系统读取表!$B$14</f>
        <v>82147.51999999999</v>
      </c>
      <c r="C15" s="3075">
        <f>[2]系统读取表!$C$14</f>
        <v>34490.300000000003</v>
      </c>
      <c r="D15" s="3075">
        <f ca="1">[2]系统读取表!$D$14</f>
        <v>22376</v>
      </c>
      <c r="E15" s="3071">
        <f t="shared" ref="E15:E23" ca="1" si="2">ROUND(D15*10000/B15,0)</f>
        <v>2724</v>
      </c>
      <c r="F15" s="3071">
        <f t="shared" ref="F15:F23" ca="1" si="3">ROUND(D15*10000/C15,0)</f>
        <v>6488</v>
      </c>
      <c r="G15" s="3072"/>
      <c r="H15" s="3072"/>
      <c r="I15" s="3075"/>
    </row>
    <row r="16" spans="1:9" ht="16.5">
      <c r="A16" s="3074" t="s">
        <v>2869</v>
      </c>
      <c r="B16" s="3075"/>
      <c r="C16" s="3075"/>
      <c r="D16" s="3075"/>
      <c r="E16" s="3071" t="e">
        <f t="shared" si="2"/>
        <v>#DIV/0!</v>
      </c>
      <c r="F16" s="3071" t="e">
        <f t="shared" si="3"/>
        <v>#DIV/0!</v>
      </c>
      <c r="G16" s="3072"/>
      <c r="H16" s="3072"/>
      <c r="I16" s="3075"/>
    </row>
    <row r="17" spans="1:9" ht="16.5">
      <c r="A17" s="3074" t="s">
        <v>2870</v>
      </c>
      <c r="B17" s="3075"/>
      <c r="C17" s="3075"/>
      <c r="D17" s="3075"/>
      <c r="E17" s="3071" t="e">
        <f t="shared" si="2"/>
        <v>#DIV/0!</v>
      </c>
      <c r="F17" s="3071" t="e">
        <f t="shared" si="3"/>
        <v>#DIV/0!</v>
      </c>
      <c r="G17" s="3072"/>
      <c r="H17" s="3072"/>
      <c r="I17" s="3075"/>
    </row>
    <row r="18" spans="1:9" ht="16.5">
      <c r="A18" s="3074" t="s">
        <v>2871</v>
      </c>
      <c r="B18" s="3075"/>
      <c r="C18" s="3075"/>
      <c r="D18" s="3075"/>
      <c r="E18" s="3071" t="e">
        <f t="shared" si="2"/>
        <v>#DIV/0!</v>
      </c>
      <c r="F18" s="3071" t="e">
        <f t="shared" si="3"/>
        <v>#DIV/0!</v>
      </c>
      <c r="G18" s="3075"/>
      <c r="H18" s="3075"/>
      <c r="I18" s="3075"/>
    </row>
    <row r="19" spans="1:9" ht="16.5">
      <c r="A19" s="3074" t="s">
        <v>2872</v>
      </c>
      <c r="B19" s="3075"/>
      <c r="C19" s="3075"/>
      <c r="D19" s="3075"/>
      <c r="E19" s="3071" t="e">
        <f t="shared" si="2"/>
        <v>#DIV/0!</v>
      </c>
      <c r="F19" s="3071" t="e">
        <f t="shared" si="3"/>
        <v>#DIV/0!</v>
      </c>
      <c r="G19" s="3075"/>
      <c r="H19" s="3075"/>
      <c r="I19" s="3075"/>
    </row>
    <row r="20" spans="1:9" ht="16.5">
      <c r="A20" s="3074" t="s">
        <v>2873</v>
      </c>
      <c r="B20" s="3075"/>
      <c r="C20" s="3075"/>
      <c r="D20" s="3075"/>
      <c r="E20" s="3071" t="e">
        <f t="shared" si="2"/>
        <v>#DIV/0!</v>
      </c>
      <c r="F20" s="3071" t="e">
        <f t="shared" si="3"/>
        <v>#DIV/0!</v>
      </c>
      <c r="G20" s="3075"/>
      <c r="H20" s="3075"/>
      <c r="I20" s="3075"/>
    </row>
    <row r="21" spans="1:9" ht="16.5">
      <c r="A21" s="3074" t="s">
        <v>2874</v>
      </c>
      <c r="B21" s="3075"/>
      <c r="C21" s="3075"/>
      <c r="D21" s="3075"/>
      <c r="E21" s="3071" t="e">
        <f t="shared" si="2"/>
        <v>#DIV/0!</v>
      </c>
      <c r="F21" s="3071" t="e">
        <f t="shared" si="3"/>
        <v>#DIV/0!</v>
      </c>
      <c r="G21" s="3075"/>
      <c r="H21" s="3075"/>
      <c r="I21" s="3075"/>
    </row>
    <row r="22" spans="1:9" ht="16.5">
      <c r="A22" s="3074" t="s">
        <v>2875</v>
      </c>
      <c r="B22" s="3075"/>
      <c r="C22" s="3075"/>
      <c r="D22" s="3075"/>
      <c r="E22" s="3071" t="e">
        <f t="shared" si="2"/>
        <v>#DIV/0!</v>
      </c>
      <c r="F22" s="3071" t="e">
        <f t="shared" si="3"/>
        <v>#DIV/0!</v>
      </c>
      <c r="G22" s="3075"/>
      <c r="H22" s="3075"/>
      <c r="I22" s="3075"/>
    </row>
    <row r="23" spans="1:9" ht="16.5">
      <c r="A23" s="3074" t="s">
        <v>2876</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29" sqref="H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3224</v>
      </c>
      <c r="E1" s="1806" t="s">
        <v>2061</v>
      </c>
      <c r="F1" s="1808" t="s">
        <v>3223</v>
      </c>
      <c r="G1" s="311"/>
      <c r="H1" s="311"/>
      <c r="I1" s="311"/>
      <c r="J1" s="2029"/>
      <c r="K1" s="2029"/>
      <c r="L1" s="2029"/>
      <c r="M1" s="2029"/>
      <c r="N1" s="2029"/>
      <c r="O1" s="2029"/>
      <c r="P1" s="2029"/>
      <c r="Q1" s="2029"/>
      <c r="R1" s="2029"/>
      <c r="S1" s="2029"/>
      <c r="T1" s="2029"/>
      <c r="U1" s="2029"/>
      <c r="V1" s="2029"/>
    </row>
    <row r="2" spans="1:22" ht="21.75" customHeight="1" thickBot="1">
      <c r="A2" s="3625" t="str">
        <f>项目基本情况!K2</f>
        <v>出让国有建设用地使用权</v>
      </c>
      <c r="B2" s="3626"/>
      <c r="C2" s="3627"/>
      <c r="D2" s="3627"/>
      <c r="E2" s="3627"/>
      <c r="F2" s="3627"/>
      <c r="G2" s="3626"/>
      <c r="H2" s="3626"/>
      <c r="I2" s="3628"/>
      <c r="J2" s="2030"/>
      <c r="K2" s="2029"/>
      <c r="L2" s="2029"/>
      <c r="M2" s="2029"/>
      <c r="N2" s="2029"/>
      <c r="O2" s="2029"/>
      <c r="P2" s="2029"/>
      <c r="Q2" s="2029"/>
      <c r="R2" s="2029"/>
      <c r="S2" s="2029"/>
      <c r="T2" s="2029"/>
      <c r="U2" s="2029"/>
      <c r="V2" s="2029"/>
    </row>
    <row r="3" spans="1:22" ht="14.25">
      <c r="A3" s="3636" t="s">
        <v>298</v>
      </c>
      <c r="B3" s="3637"/>
      <c r="C3" s="3637"/>
      <c r="D3" s="3637"/>
      <c r="E3" s="3637"/>
      <c r="F3" s="3637"/>
      <c r="G3" s="3637"/>
      <c r="H3" s="3637"/>
      <c r="I3" s="3637"/>
      <c r="J3" s="2030"/>
      <c r="K3" s="2029"/>
      <c r="L3" s="2029"/>
      <c r="M3" s="2029"/>
      <c r="N3" s="2029"/>
      <c r="O3" s="2029"/>
      <c r="P3" s="2029"/>
      <c r="Q3" s="2029"/>
      <c r="R3" s="2029"/>
      <c r="S3" s="2029"/>
      <c r="T3" s="2029"/>
      <c r="U3" s="2029"/>
      <c r="V3" s="2029"/>
    </row>
    <row r="4" spans="1:22" ht="14.25">
      <c r="A4" s="258" t="s">
        <v>299</v>
      </c>
      <c r="B4" s="259" t="s">
        <v>300</v>
      </c>
      <c r="C4" s="260" t="s">
        <v>3220</v>
      </c>
      <c r="D4" s="260" t="s">
        <v>3221</v>
      </c>
      <c r="E4" s="3600" t="s">
        <v>301</v>
      </c>
      <c r="F4" s="3642"/>
      <c r="G4" s="3642"/>
      <c r="H4" s="3642"/>
      <c r="I4" s="360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629" t="s">
        <v>302</v>
      </c>
      <c r="B5" s="3630">
        <v>25</v>
      </c>
      <c r="C5" s="3638"/>
      <c r="D5" s="3641"/>
      <c r="E5" s="261" t="s">
        <v>303</v>
      </c>
      <c r="F5" s="262"/>
      <c r="G5" s="262"/>
      <c r="H5" s="262"/>
      <c r="I5" s="263"/>
      <c r="J5" s="2030"/>
      <c r="K5" s="2029"/>
      <c r="L5" s="2029"/>
      <c r="M5" s="2029"/>
      <c r="N5" s="2029"/>
      <c r="O5" s="2029"/>
      <c r="P5" s="2029"/>
      <c r="Q5" s="2029"/>
      <c r="R5" s="2029"/>
      <c r="S5" s="2029"/>
      <c r="T5" s="2029"/>
      <c r="U5" s="2029"/>
      <c r="V5" s="2029"/>
    </row>
    <row r="6" spans="1:22" ht="14.25">
      <c r="A6" s="3629"/>
      <c r="B6" s="3630"/>
      <c r="C6" s="3639"/>
      <c r="D6" s="3641"/>
      <c r="E6" s="261" t="s">
        <v>304</v>
      </c>
      <c r="F6" s="262"/>
      <c r="G6" s="262"/>
      <c r="H6" s="262"/>
      <c r="I6" s="263"/>
      <c r="J6" s="2030"/>
      <c r="K6" s="2029"/>
      <c r="L6" s="2029"/>
      <c r="M6" s="2029"/>
      <c r="N6" s="2029"/>
      <c r="O6" s="2029"/>
      <c r="P6" s="2029"/>
      <c r="Q6" s="2029"/>
      <c r="R6" s="2029"/>
      <c r="S6" s="2029"/>
      <c r="T6" s="2029"/>
      <c r="U6" s="2029"/>
      <c r="V6" s="2029"/>
    </row>
    <row r="7" spans="1:22" ht="14.25">
      <c r="A7" s="3629"/>
      <c r="B7" s="3630"/>
      <c r="C7" s="3640"/>
      <c r="D7" s="3641"/>
      <c r="E7" s="261" t="s">
        <v>305</v>
      </c>
      <c r="F7" s="262"/>
      <c r="G7" s="262"/>
      <c r="H7" s="262"/>
      <c r="I7" s="263"/>
      <c r="J7" s="2030"/>
      <c r="K7" s="2029"/>
      <c r="L7" s="2029"/>
      <c r="M7" s="2029"/>
      <c r="N7" s="2029"/>
      <c r="O7" s="2029"/>
      <c r="P7" s="2029"/>
      <c r="Q7" s="2029"/>
      <c r="R7" s="2029"/>
      <c r="S7" s="2029"/>
      <c r="T7" s="2029"/>
      <c r="U7" s="2029"/>
      <c r="V7" s="2029"/>
    </row>
    <row r="8" spans="1:22" ht="14.25">
      <c r="A8" s="3629" t="s">
        <v>306</v>
      </c>
      <c r="B8" s="3630">
        <v>15</v>
      </c>
      <c r="C8" s="3638"/>
      <c r="D8" s="3641"/>
      <c r="E8" s="261" t="s">
        <v>307</v>
      </c>
      <c r="F8" s="262"/>
      <c r="G8" s="262"/>
      <c r="H8" s="262"/>
      <c r="I8" s="263"/>
      <c r="J8" s="2030"/>
      <c r="K8" s="2029"/>
      <c r="L8" s="2029"/>
      <c r="M8" s="2029"/>
      <c r="N8" s="2029"/>
      <c r="O8" s="2029"/>
      <c r="P8" s="2029"/>
      <c r="Q8" s="2029"/>
      <c r="R8" s="2029"/>
      <c r="S8" s="2029"/>
      <c r="T8" s="2029"/>
      <c r="U8" s="2029"/>
      <c r="V8" s="2029"/>
    </row>
    <row r="9" spans="1:22" ht="14.25">
      <c r="A9" s="3629"/>
      <c r="B9" s="3630"/>
      <c r="C9" s="3640"/>
      <c r="D9" s="3641"/>
      <c r="E9" s="261" t="s">
        <v>308</v>
      </c>
      <c r="F9" s="262"/>
      <c r="G9" s="262"/>
      <c r="H9" s="262"/>
      <c r="I9" s="263"/>
      <c r="J9" s="2030"/>
      <c r="K9" s="2029"/>
      <c r="L9" s="2029"/>
      <c r="M9" s="2029"/>
      <c r="N9" s="2029"/>
      <c r="O9" s="2029"/>
      <c r="P9" s="2029"/>
      <c r="Q9" s="2029"/>
      <c r="R9" s="2029"/>
      <c r="S9" s="2029"/>
      <c r="T9" s="2029"/>
      <c r="U9" s="2029"/>
      <c r="V9" s="2029"/>
    </row>
    <row r="10" spans="1:22" ht="14.25">
      <c r="A10" s="3629" t="s">
        <v>309</v>
      </c>
      <c r="B10" s="3630">
        <v>15</v>
      </c>
      <c r="C10" s="3638"/>
      <c r="D10" s="3641"/>
      <c r="E10" s="261" t="s">
        <v>310</v>
      </c>
      <c r="F10" s="262"/>
      <c r="G10" s="262"/>
      <c r="H10" s="262"/>
      <c r="I10" s="263"/>
      <c r="J10" s="2030"/>
      <c r="K10" s="2029"/>
      <c r="L10" s="2029"/>
      <c r="M10" s="2029"/>
      <c r="N10" s="2029"/>
      <c r="O10" s="2029"/>
      <c r="P10" s="2029"/>
      <c r="Q10" s="2029"/>
      <c r="R10" s="2029"/>
      <c r="S10" s="2029"/>
      <c r="T10" s="2029"/>
      <c r="U10" s="2029"/>
      <c r="V10" s="2029"/>
    </row>
    <row r="11" spans="1:22" ht="14.25">
      <c r="A11" s="3629"/>
      <c r="B11" s="3630"/>
      <c r="C11" s="3640"/>
      <c r="D11" s="3641"/>
      <c r="E11" s="261" t="s">
        <v>311</v>
      </c>
      <c r="F11" s="262"/>
      <c r="G11" s="262"/>
      <c r="H11" s="262"/>
      <c r="I11" s="263"/>
      <c r="J11" s="2030"/>
      <c r="K11" s="2029"/>
      <c r="L11" s="2029"/>
      <c r="M11" s="2029"/>
      <c r="N11" s="2029"/>
      <c r="O11" s="2029"/>
      <c r="P11" s="2029"/>
      <c r="Q11" s="2029"/>
      <c r="R11" s="2029"/>
      <c r="S11" s="2029"/>
      <c r="T11" s="2029"/>
      <c r="U11" s="2029"/>
      <c r="V11" s="2029"/>
    </row>
    <row r="12" spans="1:22" ht="14.25">
      <c r="A12" s="3629" t="s">
        <v>312</v>
      </c>
      <c r="B12" s="3630">
        <v>15</v>
      </c>
      <c r="C12" s="3638"/>
      <c r="D12" s="3641"/>
      <c r="E12" s="261" t="s">
        <v>313</v>
      </c>
      <c r="F12" s="262"/>
      <c r="G12" s="262"/>
      <c r="H12" s="262"/>
      <c r="I12" s="263"/>
      <c r="J12" s="2030"/>
      <c r="K12" s="2029"/>
      <c r="L12" s="2029"/>
      <c r="M12" s="2029"/>
      <c r="N12" s="2029"/>
      <c r="O12" s="2029"/>
      <c r="P12" s="2029"/>
      <c r="Q12" s="2029"/>
      <c r="R12" s="2029"/>
      <c r="S12" s="2029"/>
      <c r="T12" s="2029"/>
      <c r="U12" s="2029"/>
      <c r="V12" s="2029"/>
    </row>
    <row r="13" spans="1:22" ht="14.25">
      <c r="A13" s="3629"/>
      <c r="B13" s="3630"/>
      <c r="C13" s="3640"/>
      <c r="D13" s="3641"/>
      <c r="E13" s="261" t="s">
        <v>314</v>
      </c>
      <c r="F13" s="262"/>
      <c r="G13" s="262"/>
      <c r="H13" s="262"/>
      <c r="I13" s="263"/>
      <c r="J13" s="2030"/>
      <c r="K13" s="2029"/>
      <c r="L13" s="2029"/>
      <c r="M13" s="2029"/>
      <c r="N13" s="2029"/>
      <c r="O13" s="2029"/>
      <c r="P13" s="2029"/>
      <c r="Q13" s="2029"/>
      <c r="R13" s="2029"/>
      <c r="S13" s="2029"/>
      <c r="T13" s="2029"/>
      <c r="U13" s="2029"/>
      <c r="V13" s="2029"/>
    </row>
    <row r="14" spans="1:22" ht="14.25">
      <c r="A14" s="3629" t="s">
        <v>315</v>
      </c>
      <c r="B14" s="3630">
        <v>30</v>
      </c>
      <c r="C14" s="3638">
        <v>6</v>
      </c>
      <c r="D14" s="3641">
        <f>10-C14</f>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629"/>
      <c r="B15" s="3630"/>
      <c r="C15" s="3639"/>
      <c r="D15" s="3641"/>
      <c r="E15" s="261" t="s">
        <v>317</v>
      </c>
      <c r="F15" s="262"/>
      <c r="G15" s="262"/>
      <c r="H15" s="262"/>
      <c r="I15" s="263"/>
      <c r="J15" s="2030"/>
      <c r="K15" s="2029"/>
      <c r="L15" s="2029"/>
      <c r="M15" s="2029"/>
      <c r="N15" s="2029"/>
      <c r="O15" s="2029"/>
      <c r="P15" s="2029"/>
      <c r="Q15" s="2029"/>
      <c r="R15" s="2029"/>
      <c r="S15" s="2029"/>
      <c r="T15" s="2029"/>
      <c r="U15" s="2029"/>
      <c r="V15" s="2029"/>
    </row>
    <row r="16" spans="1:22" ht="14.25">
      <c r="A16" s="3629"/>
      <c r="B16" s="3630"/>
      <c r="C16" s="3640"/>
      <c r="D16" s="364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14416</v>
      </c>
      <c r="D19" s="271">
        <f ca="1">SUMIF(INDIRECT("'"&amp;D4&amp;"'"&amp;"!A:A"),结果表!B19,INDIRECT("'"&amp;D4&amp;"'"&amp;"!B:B"))</f>
        <v>35179</v>
      </c>
      <c r="E19" s="268" t="s">
        <v>323</v>
      </c>
      <c r="F19" s="269" t="s">
        <v>322</v>
      </c>
      <c r="G19" s="272">
        <f ca="1">ROUND(C19*$C$18+D19*$D$18,0)</f>
        <v>22721</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1718</v>
      </c>
      <c r="D20" s="277">
        <f ca="1">SUMIF(INDIRECT("'"&amp;D4&amp;"'"&amp;"!A:A"),结果表!B20,INDIRECT("'"&amp;D4&amp;"'"&amp;"!B:B"))</f>
        <v>4192</v>
      </c>
      <c r="E20" s="274"/>
      <c r="F20" s="275" t="s">
        <v>325</v>
      </c>
      <c r="G20" s="278">
        <f ca="1">ROUND(C20*$C$18+D20*$D$18,0)</f>
        <v>2708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4054</v>
      </c>
      <c r="D21" s="151">
        <f ca="1">SUMIF(INDIRECT("'"&amp;D4&amp;"'"&amp;"!A:A"),结果表!B21,INDIRECT("'"&amp;D4&amp;"'"&amp;"!B:B"))</f>
        <v>9892</v>
      </c>
      <c r="E21" s="274"/>
      <c r="F21" s="280" t="s">
        <v>327</v>
      </c>
      <c r="G21" s="282">
        <f ca="1">ROUND(C21*$C$18+D21*$D$18,0)</f>
        <v>6389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1.4402746947835738</v>
      </c>
      <c r="E22" s="284"/>
      <c r="F22" s="285"/>
      <c r="G22" s="286">
        <f ca="1">ROUND(G19/('数据-汇总表'!D3/666.67),0)</f>
        <v>426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60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644"/>
      <c r="B25" s="1321" t="s">
        <v>331</v>
      </c>
      <c r="C25" s="290">
        <f>IF(B30=0,0,C30)</f>
        <v>0</v>
      </c>
      <c r="D25" s="291"/>
      <c r="E25" s="311"/>
      <c r="F25" s="311"/>
      <c r="G25" s="311"/>
      <c r="H25" s="311"/>
      <c r="I25" s="311"/>
      <c r="J25" s="2029"/>
      <c r="K25" s="1255" t="str">
        <f ca="1">项目基本情况!B16&amp;"国有建设用地使用权价格："&amp;O38&amp;"万元"</f>
        <v>出让国有建设用地使用权价格：22721万元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大写金额：人民币贰亿贰仟柒佰贰拾壹万元整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单位面积地价：6389元/平方米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楼面地价：2708元/平方米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336</v>
      </c>
      <c r="B30" s="309"/>
      <c r="C30" s="309"/>
      <c r="D30" s="310"/>
      <c r="E30" s="3158" t="s">
        <v>2978</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1" t="str">
        <f>IF(项目基本情况!E8="抵押价格","——","抵押担保权已注销时的抵押价格："&amp;O40&amp;"万元")</f>
        <v>抵押担保权已注销时的抵押价格：——万元</v>
      </c>
      <c r="L31" s="2487"/>
      <c r="M31" s="2487"/>
      <c r="N31" s="2487"/>
      <c r="O31" s="2488"/>
      <c r="P31" s="2029"/>
      <c r="V31" s="2029"/>
    </row>
    <row r="32" spans="1:26" ht="18.75" thickBot="1">
      <c r="A32" s="268" t="s">
        <v>337</v>
      </c>
      <c r="B32" s="1382" t="s">
        <v>1690</v>
      </c>
      <c r="C32" s="1383">
        <f ca="1">G19-C24</f>
        <v>22721</v>
      </c>
      <c r="D32" s="1384" t="s">
        <v>1691</v>
      </c>
      <c r="E32" s="311"/>
      <c r="F32" s="311"/>
      <c r="G32" s="311"/>
      <c r="H32" s="311"/>
      <c r="I32" s="311"/>
      <c r="J32" s="2029"/>
      <c r="K32" s="2486" t="e">
        <f>IF(K31="——","——","大写金额：人民币"&amp;NUMBERSTRING(INT(O40*10000),2)&amp;"元整")</f>
        <v>#VALUE!</v>
      </c>
      <c r="L32" s="2489"/>
      <c r="M32" s="2489"/>
      <c r="N32" s="2489"/>
      <c r="O32" s="2490"/>
      <c r="P32" s="2029"/>
      <c r="V32" s="2029"/>
    </row>
    <row r="33" spans="1:26" ht="18.75" thickBot="1">
      <c r="A33" s="298" t="s">
        <v>340</v>
      </c>
      <c r="B33" s="1385" t="s">
        <v>1692</v>
      </c>
      <c r="C33" s="264">
        <f ca="1">ROUND(C32*10000/'数据-汇总表'!E3,0)</f>
        <v>2708</v>
      </c>
      <c r="D33" s="1386" t="s">
        <v>1693</v>
      </c>
      <c r="E33" s="3602"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6389</v>
      </c>
      <c r="D34" s="1388" t="s">
        <v>1693</v>
      </c>
      <c r="E34" s="360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426</v>
      </c>
      <c r="D35" s="1391" t="s">
        <v>1695</v>
      </c>
      <c r="E35" s="3604"/>
      <c r="F35" s="301" t="s">
        <v>342</v>
      </c>
      <c r="G35" s="982"/>
      <c r="H35" s="981" t="s">
        <v>343</v>
      </c>
      <c r="I35" s="311"/>
      <c r="J35" s="2029"/>
      <c r="K35" s="3608" t="s">
        <v>350</v>
      </c>
      <c r="L35" s="3608" t="s">
        <v>351</v>
      </c>
      <c r="M35" s="1264" t="s">
        <v>352</v>
      </c>
      <c r="N35" s="3608" t="s">
        <v>353</v>
      </c>
      <c r="O35" s="3608" t="s">
        <v>354</v>
      </c>
      <c r="P35" s="2029"/>
      <c r="V35" s="2029"/>
    </row>
    <row r="36" spans="1:26" ht="16.5" customHeight="1">
      <c r="A36" s="303" t="s">
        <v>344</v>
      </c>
      <c r="B36" s="304" t="s">
        <v>333</v>
      </c>
      <c r="C36" s="305" t="s">
        <v>345</v>
      </c>
      <c r="D36" s="305" t="s">
        <v>346</v>
      </c>
      <c r="E36" s="306" t="s">
        <v>347</v>
      </c>
      <c r="F36" s="311"/>
      <c r="G36" s="311"/>
      <c r="H36" s="311"/>
      <c r="I36" s="311"/>
      <c r="J36" s="2031"/>
      <c r="K36" s="3609"/>
      <c r="L36" s="3609"/>
      <c r="M36" s="1266" t="s">
        <v>355</v>
      </c>
      <c r="N36" s="3609"/>
      <c r="O36" s="3609"/>
      <c r="P36" s="2029"/>
      <c r="V36" s="2029"/>
    </row>
    <row r="37" spans="1:26" ht="16.5" customHeight="1" thickBot="1">
      <c r="A37" s="1260" t="s">
        <v>348</v>
      </c>
      <c r="B37" s="307"/>
      <c r="C37" s="294"/>
      <c r="D37" s="294"/>
      <c r="E37" s="295"/>
      <c r="F37" s="311"/>
      <c r="G37" s="311"/>
      <c r="H37" s="311"/>
      <c r="I37" s="311"/>
      <c r="J37" s="2031"/>
      <c r="K37" s="3610"/>
      <c r="L37" s="3610"/>
      <c r="M37" s="1267"/>
      <c r="N37" s="3610"/>
      <c r="O37" s="3610"/>
      <c r="P37" s="2029"/>
      <c r="V37" s="2029"/>
    </row>
    <row r="38" spans="1:26" ht="16.5" customHeight="1" thickBot="1">
      <c r="A38" s="1260" t="s">
        <v>349</v>
      </c>
      <c r="B38" s="307"/>
      <c r="C38" s="294"/>
      <c r="D38" s="294"/>
      <c r="E38" s="295"/>
      <c r="F38" s="311"/>
      <c r="G38" s="311"/>
      <c r="H38" s="311"/>
      <c r="I38" s="311"/>
      <c r="J38" s="2031"/>
      <c r="K38" s="1268">
        <f>'数据-汇总表'!D3</f>
        <v>35564.06</v>
      </c>
      <c r="L38" s="1269">
        <f>'数据-汇总表'!E3</f>
        <v>83910.81</v>
      </c>
      <c r="M38" s="1269">
        <f ca="1">C34</f>
        <v>6389</v>
      </c>
      <c r="N38" s="1269">
        <f ca="1">C33</f>
        <v>2708</v>
      </c>
      <c r="O38" s="1270">
        <f ca="1">C32</f>
        <v>22721</v>
      </c>
      <c r="P38" s="2029"/>
      <c r="V38" s="2029"/>
    </row>
    <row r="39" spans="1:26" ht="16.5" customHeight="1" thickBot="1">
      <c r="A39" s="1265"/>
      <c r="B39" s="308"/>
      <c r="C39" s="309"/>
      <c r="D39" s="309"/>
      <c r="E39" s="310"/>
      <c r="F39" s="311"/>
      <c r="G39" s="311"/>
      <c r="H39" s="311"/>
      <c r="I39" s="311"/>
      <c r="J39" s="2031"/>
      <c r="K39" s="3585" t="str">
        <f>MID(A44,3,LEN(A44)-2)</f>
        <v/>
      </c>
      <c r="L39" s="3586"/>
      <c r="M39" s="3586"/>
      <c r="N39" s="3587"/>
      <c r="O39" s="1393" t="str">
        <f>C44</f>
        <v>——</v>
      </c>
      <c r="P39" s="2029"/>
      <c r="V39" s="2029"/>
    </row>
    <row r="40" spans="1:26" ht="19.5" thickBot="1">
      <c r="A40" s="104" t="s">
        <v>874</v>
      </c>
      <c r="B40" s="311"/>
      <c r="C40" s="311"/>
      <c r="D40" s="311"/>
      <c r="E40" s="311"/>
      <c r="F40" s="311"/>
      <c r="G40" s="311"/>
      <c r="H40" s="311"/>
      <c r="I40" s="311"/>
      <c r="J40" s="2031"/>
      <c r="K40" s="3585" t="str">
        <f t="shared" ref="K40:K41" si="0">MID(A45,3,LEN(A45)-2)</f>
        <v/>
      </c>
      <c r="L40" s="3586"/>
      <c r="M40" s="3586"/>
      <c r="N40" s="3587"/>
      <c r="O40" s="1393" t="str">
        <f>C45</f>
        <v>——</v>
      </c>
      <c r="P40" s="2029"/>
      <c r="V40" s="2029"/>
    </row>
    <row r="41" spans="1:26" ht="16.5" thickBot="1">
      <c r="A41" s="312" t="s">
        <v>356</v>
      </c>
      <c r="B41" s="313"/>
      <c r="C41" s="314" t="s">
        <v>357</v>
      </c>
      <c r="D41" s="315" t="s">
        <v>358</v>
      </c>
      <c r="E41" s="315" t="s">
        <v>359</v>
      </c>
      <c r="F41" s="316" t="s">
        <v>360</v>
      </c>
      <c r="G41" s="311"/>
      <c r="H41" s="311"/>
      <c r="I41" s="311"/>
      <c r="J41" s="2031"/>
      <c r="K41" s="3585" t="str">
        <f t="shared" si="0"/>
        <v/>
      </c>
      <c r="L41" s="3586"/>
      <c r="M41" s="3586"/>
      <c r="N41" s="3587"/>
      <c r="O41" s="1393" t="str">
        <f>C46</f>
        <v>——</v>
      </c>
      <c r="P41" s="2029"/>
      <c r="V41" s="2029"/>
    </row>
    <row r="42" spans="1:26" ht="29.25">
      <c r="A42" s="3645" t="s">
        <v>2071</v>
      </c>
      <c r="B42" s="3646"/>
      <c r="C42" s="264">
        <f ca="1">C32</f>
        <v>22721</v>
      </c>
      <c r="D42" s="317">
        <f ca="1">C33</f>
        <v>2708</v>
      </c>
      <c r="E42" s="317">
        <f ca="1">C34</f>
        <v>6389</v>
      </c>
      <c r="F42" s="318">
        <f ca="1">C35</f>
        <v>426</v>
      </c>
      <c r="G42" s="311"/>
      <c r="H42" s="311"/>
      <c r="I42" s="319"/>
      <c r="J42" s="2031"/>
      <c r="K42" s="1271" t="s">
        <v>361</v>
      </c>
      <c r="L42" s="2048" t="s">
        <v>362</v>
      </c>
      <c r="M42" s="1272" t="s">
        <v>363</v>
      </c>
      <c r="N42" s="2049" t="s">
        <v>364</v>
      </c>
      <c r="O42" s="2050" t="s">
        <v>365</v>
      </c>
      <c r="P42" s="2029"/>
      <c r="V42" s="2029"/>
    </row>
    <row r="43" spans="1:26" ht="30">
      <c r="A43" s="3655" t="s">
        <v>2737</v>
      </c>
      <c r="B43" s="3656"/>
      <c r="C43" s="264">
        <f>IF(H33="正常操作",G33+G34+G35,G34+G35)</f>
        <v>0</v>
      </c>
      <c r="D43" s="317" t="s">
        <v>43</v>
      </c>
      <c r="E43" s="317" t="s">
        <v>44</v>
      </c>
      <c r="F43" s="318" t="s">
        <v>44</v>
      </c>
      <c r="G43" s="2890" t="s">
        <v>953</v>
      </c>
      <c r="H43" s="311"/>
      <c r="I43" s="319"/>
      <c r="J43" s="2031"/>
      <c r="K43" s="1273" t="str">
        <f>C4</f>
        <v>比较法-住宅、综合</v>
      </c>
      <c r="L43" s="1274">
        <f ca="1">IF(L42="估价结果/万元",C19,C20)</f>
        <v>14416</v>
      </c>
      <c r="M43" s="1275">
        <f>C18</f>
        <v>0.6</v>
      </c>
      <c r="N43" s="1276">
        <f ca="1">IF(N42="测算结果/万元",G19,G20)</f>
        <v>22721</v>
      </c>
      <c r="O43" s="1277">
        <f ca="1">IF(O42="最终结果/万元",C32,C33)</f>
        <v>22721</v>
      </c>
      <c r="P43" s="2029"/>
      <c r="V43" s="2029"/>
    </row>
    <row r="44" spans="1:26" ht="30.75" thickBot="1">
      <c r="A44" s="3645" t="str">
        <f>IF(OR(项目基本情况!E8="抵押价格",项目基本情况!E8="已注销及未注销"),"3.抵押价格","——")</f>
        <v>——</v>
      </c>
      <c r="B44" s="364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35179</v>
      </c>
      <c r="M44" s="1280">
        <f>D18</f>
        <v>0.4</v>
      </c>
      <c r="N44" s="1281"/>
      <c r="O44" s="1282"/>
      <c r="P44" s="2029"/>
      <c r="V44" s="2029"/>
    </row>
    <row r="45" spans="1:26" ht="15">
      <c r="A45" s="3650" t="str">
        <f>IF(项目基本情况!E8="已注销及未注销","4.抵押担保权已注销时的抵押价格",IF(项目基本情况!E8="已注销","3.抵押担保权已注销时的抵押价格","——"))</f>
        <v>——</v>
      </c>
      <c r="B45" s="365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647" t="str">
        <f>IF(项目基本情况!E9="抵押净值",IF(A45="——","4.抵押净值","5.抵押净值"),"——")</f>
        <v>——</v>
      </c>
      <c r="B46" s="364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13" t="s">
        <v>374</v>
      </c>
      <c r="B63" s="3614"/>
      <c r="C63" s="3615"/>
      <c r="D63" s="341">
        <f ca="1">ROUND(C42*F63,0)</f>
        <v>13633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652" t="s">
        <v>378</v>
      </c>
      <c r="B64" s="3653"/>
      <c r="C64" s="3653"/>
      <c r="D64" s="3653"/>
      <c r="E64" s="3653"/>
      <c r="F64" s="3653"/>
      <c r="G64" s="3654"/>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649" t="s">
        <v>386</v>
      </c>
      <c r="B66" s="3620"/>
      <c r="C66" s="3620"/>
      <c r="D66" s="261">
        <f ca="1">IF(H66="情况1",0,IF(H66="情况2",D70,IF(H66="情况3",D71,IF(H66="情况4",D72))))</f>
        <v>727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589" t="s">
        <v>385</v>
      </c>
      <c r="M66" s="3590"/>
      <c r="N66" s="2481"/>
      <c r="O66" s="2482"/>
      <c r="P66" s="2483"/>
      <c r="Q66" s="2029"/>
      <c r="R66" s="2029"/>
      <c r="S66" s="2029"/>
      <c r="T66" s="2029"/>
      <c r="U66" s="2029"/>
      <c r="V66" s="2029"/>
    </row>
    <row r="67" spans="1:22" ht="25.5" customHeight="1">
      <c r="A67" s="352" t="s">
        <v>390</v>
      </c>
      <c r="B67" s="3632" t="s">
        <v>391</v>
      </c>
      <c r="C67" s="3632"/>
      <c r="D67" s="353">
        <v>0</v>
      </c>
      <c r="E67" s="41" t="s">
        <v>392</v>
      </c>
      <c r="F67" s="62" t="s">
        <v>21</v>
      </c>
      <c r="G67" s="3616"/>
      <c r="H67" s="311"/>
      <c r="I67" s="1292"/>
      <c r="J67" s="2036"/>
      <c r="K67" s="1977">
        <v>2</v>
      </c>
      <c r="L67" s="3588" t="s">
        <v>389</v>
      </c>
      <c r="M67" s="3588"/>
      <c r="N67" s="1325">
        <f>'数据-取费表'!B2</f>
        <v>43136</v>
      </c>
      <c r="O67" s="1325"/>
      <c r="P67" s="1325"/>
      <c r="Q67" s="2029"/>
      <c r="R67" s="2029"/>
      <c r="S67" s="2029"/>
      <c r="T67" s="2029"/>
      <c r="U67" s="2029"/>
      <c r="V67" s="2029"/>
    </row>
    <row r="68" spans="1:22" ht="25.5" customHeight="1">
      <c r="A68" s="354"/>
      <c r="B68" s="3632" t="s">
        <v>394</v>
      </c>
      <c r="C68" s="3632"/>
      <c r="D68" s="355"/>
      <c r="E68" s="77"/>
      <c r="F68" s="356"/>
      <c r="G68" s="3617"/>
      <c r="H68" s="311"/>
      <c r="I68" s="1292"/>
      <c r="J68" s="2036"/>
      <c r="K68" s="1977">
        <v>3</v>
      </c>
      <c r="L68" s="3588" t="s">
        <v>393</v>
      </c>
      <c r="M68" s="3588"/>
      <c r="N68" s="1293">
        <f ca="1">C42</f>
        <v>22721</v>
      </c>
      <c r="O68" s="1293"/>
      <c r="P68" s="1293"/>
      <c r="Q68" s="2029"/>
      <c r="R68" s="2029"/>
      <c r="S68" s="2029"/>
      <c r="T68" s="2029"/>
      <c r="U68" s="2029"/>
      <c r="V68" s="2029"/>
    </row>
    <row r="69" spans="1:22" ht="12" customHeight="1">
      <c r="A69" s="357"/>
      <c r="B69" s="3632" t="s">
        <v>395</v>
      </c>
      <c r="C69" s="3632"/>
      <c r="D69" s="358"/>
      <c r="E69" s="73"/>
      <c r="F69" s="356"/>
      <c r="G69" s="3618"/>
      <c r="H69" s="311"/>
      <c r="I69" s="1292"/>
      <c r="J69" s="2036"/>
      <c r="K69" s="1294">
        <v>4</v>
      </c>
      <c r="L69" s="3594" t="s">
        <v>2890</v>
      </c>
      <c r="M69" s="3595"/>
      <c r="N69" s="1295" t="str">
        <f>C44</f>
        <v>——</v>
      </c>
      <c r="O69" s="1295"/>
      <c r="P69" s="1295"/>
      <c r="Q69" s="2029"/>
      <c r="R69" s="2029"/>
      <c r="S69" s="2029"/>
      <c r="T69" s="2029"/>
      <c r="U69" s="2029"/>
      <c r="V69" s="2029"/>
    </row>
    <row r="70" spans="1:22" ht="24" customHeight="1">
      <c r="A70" s="359" t="s">
        <v>396</v>
      </c>
      <c r="B70" s="3632" t="s">
        <v>397</v>
      </c>
      <c r="C70" s="3632"/>
      <c r="D70" s="358">
        <f ca="1">ROUND(D63*'数据-取费表'!B41/(1+'数据-取费表'!C42),0)</f>
        <v>727</v>
      </c>
      <c r="E70" s="17" t="s">
        <v>398</v>
      </c>
      <c r="F70" s="360">
        <f>'数据-取费表'!B41</f>
        <v>5.6000000000000001E-2</v>
      </c>
      <c r="G70" s="361"/>
      <c r="H70" s="311"/>
      <c r="I70" s="1292"/>
      <c r="J70" s="2036"/>
      <c r="K70" s="3084"/>
      <c r="L70" s="3085"/>
      <c r="M70" s="3085"/>
      <c r="N70" s="3086" t="s">
        <v>2895</v>
      </c>
      <c r="O70" s="3085"/>
      <c r="P70" s="3087"/>
      <c r="Q70" s="2029"/>
      <c r="R70" s="2029"/>
      <c r="S70" s="2029"/>
      <c r="T70" s="2029"/>
      <c r="U70" s="2029"/>
      <c r="V70" s="2029"/>
    </row>
    <row r="71" spans="1:22" ht="12" customHeight="1">
      <c r="A71" s="359" t="s">
        <v>404</v>
      </c>
      <c r="B71" s="3631" t="s">
        <v>405</v>
      </c>
      <c r="C71" s="3643"/>
      <c r="D71" s="358">
        <f ca="1">ROUND(D63*'数据-取费表'!B41/(1+'数据-取费表'!C42),0)</f>
        <v>727</v>
      </c>
      <c r="E71" s="17" t="s">
        <v>398</v>
      </c>
      <c r="F71" s="360">
        <f>'数据-取费表'!B41</f>
        <v>5.6000000000000001E-2</v>
      </c>
      <c r="G71" s="361"/>
      <c r="H71" s="311"/>
      <c r="I71" s="1292"/>
      <c r="J71" s="2036"/>
      <c r="K71" s="3083" t="s">
        <v>399</v>
      </c>
      <c r="L71" s="3596" t="s">
        <v>400</v>
      </c>
      <c r="M71" s="3596"/>
      <c r="N71" s="3083" t="s">
        <v>401</v>
      </c>
      <c r="O71" s="3083" t="s">
        <v>402</v>
      </c>
      <c r="P71" s="3083" t="s">
        <v>403</v>
      </c>
      <c r="Q71" s="2029"/>
      <c r="R71" s="2029"/>
      <c r="S71" s="2029"/>
      <c r="T71" s="2029"/>
      <c r="U71" s="2029"/>
      <c r="V71" s="2029"/>
    </row>
    <row r="72" spans="1:22" ht="12" customHeight="1">
      <c r="A72" s="359" t="s">
        <v>407</v>
      </c>
      <c r="B72" s="3631" t="s">
        <v>408</v>
      </c>
      <c r="C72" s="3643"/>
      <c r="D72" s="358">
        <f ca="1">C86</f>
        <v>615</v>
      </c>
      <c r="E72" s="73" t="s">
        <v>409</v>
      </c>
      <c r="F72" s="360">
        <f>'数据-取费表'!B41</f>
        <v>5.6000000000000001E-2</v>
      </c>
      <c r="G72" s="361"/>
      <c r="H72" s="1298"/>
      <c r="I72" s="1292"/>
      <c r="J72" s="2036"/>
      <c r="K72" s="1977">
        <v>1</v>
      </c>
      <c r="L72" s="3593" t="s">
        <v>406</v>
      </c>
      <c r="M72" s="3593"/>
      <c r="N72" s="1296">
        <f ca="1">D66</f>
        <v>727</v>
      </c>
      <c r="O72" s="1860" t="str">
        <f>E66</f>
        <v>销售额×税（费）率</v>
      </c>
      <c r="P72" s="1297">
        <f>F66</f>
        <v>5.6000000000000001E-2</v>
      </c>
      <c r="Q72" s="2029"/>
      <c r="R72" s="2029"/>
      <c r="S72" s="2029"/>
      <c r="T72" s="2029"/>
      <c r="U72" s="2029"/>
      <c r="V72" s="2029"/>
    </row>
    <row r="73" spans="1:22" ht="24" customHeight="1">
      <c r="A73" s="3619" t="s">
        <v>411</v>
      </c>
      <c r="B73" s="3620"/>
      <c r="C73" s="3620"/>
      <c r="D73" s="362">
        <f>IF(H73="个人住宅",0,ROUND(D63*I73,0))</f>
        <v>0</v>
      </c>
      <c r="E73" s="17" t="s">
        <v>412</v>
      </c>
      <c r="F73" s="360" t="str">
        <f>IF(H73="正常",I73,"免征")</f>
        <v>免征</v>
      </c>
      <c r="G73" s="361"/>
      <c r="H73" s="191" t="s">
        <v>2461</v>
      </c>
      <c r="I73" s="360">
        <f>'数据-取费表'!B49</f>
        <v>5.0000000000000001E-4</v>
      </c>
      <c r="J73" s="2036"/>
      <c r="K73" s="1977">
        <v>2</v>
      </c>
      <c r="L73" s="3593" t="s">
        <v>410</v>
      </c>
      <c r="M73" s="3593"/>
      <c r="N73" s="1296">
        <f t="shared" ref="N73:P74" si="1">D73</f>
        <v>0</v>
      </c>
      <c r="O73" s="1860" t="str">
        <f t="shared" si="1"/>
        <v>销售额×税（费）率</v>
      </c>
      <c r="P73" s="1297" t="str">
        <f t="shared" si="1"/>
        <v>免征</v>
      </c>
      <c r="Q73" s="2029"/>
      <c r="R73" s="2029"/>
      <c r="S73" s="2029"/>
      <c r="T73" s="2029"/>
      <c r="U73" s="2029"/>
      <c r="V73" s="2029"/>
    </row>
    <row r="74" spans="1:22" ht="24.75">
      <c r="A74" s="3619" t="s">
        <v>415</v>
      </c>
      <c r="B74" s="3620"/>
      <c r="C74" s="3620"/>
      <c r="D74" s="362">
        <f ca="1">IF(H74="个人住宅",D75,D76)</f>
        <v>7056</v>
      </c>
      <c r="E74" s="17" t="s">
        <v>416</v>
      </c>
      <c r="F74" s="360" t="str">
        <f>IF(H74="正常",F76,"免征")</f>
        <v>——</v>
      </c>
      <c r="G74" s="983" t="s">
        <v>417</v>
      </c>
      <c r="H74" s="363" t="s">
        <v>413</v>
      </c>
      <c r="I74" s="42"/>
      <c r="J74" s="2036"/>
      <c r="K74" s="1977">
        <v>3</v>
      </c>
      <c r="L74" s="3593" t="s">
        <v>414</v>
      </c>
      <c r="M74" s="3593"/>
      <c r="N74" s="1296">
        <f t="shared" ca="1" si="1"/>
        <v>7056</v>
      </c>
      <c r="O74" s="1860" t="str">
        <f t="shared" si="1"/>
        <v>增值额×税（费）率</v>
      </c>
      <c r="P74" s="1299" t="str">
        <f t="shared" si="1"/>
        <v>——</v>
      </c>
      <c r="Q74" s="2029"/>
      <c r="R74" s="2029"/>
      <c r="S74" s="2029"/>
      <c r="T74" s="2029"/>
      <c r="U74" s="2029"/>
      <c r="V74" s="2029"/>
    </row>
    <row r="75" spans="1:22" ht="24">
      <c r="A75" s="359" t="s">
        <v>418</v>
      </c>
      <c r="B75" s="3600" t="s">
        <v>419</v>
      </c>
      <c r="C75" s="3601"/>
      <c r="D75" s="364">
        <v>0</v>
      </c>
      <c r="E75" s="41" t="s">
        <v>420</v>
      </c>
      <c r="F75" s="365"/>
      <c r="G75" s="361"/>
      <c r="H75" s="42"/>
      <c r="I75" s="42"/>
      <c r="J75" s="2036"/>
      <c r="K75" s="3076">
        <f>IF(H77="非个人房产","",4)</f>
        <v>4</v>
      </c>
      <c r="L75" s="3593" t="str">
        <f>IF(H77="非个人房产","——","个人所得税")</f>
        <v>个人所得税</v>
      </c>
      <c r="M75" s="3593"/>
      <c r="N75" s="1300">
        <f ca="1">D77</f>
        <v>136</v>
      </c>
      <c r="O75" s="1873" t="str">
        <f>E77</f>
        <v>销售额×税（费）率</v>
      </c>
      <c r="P75" s="1301">
        <f>F77</f>
        <v>0.01</v>
      </c>
      <c r="Q75" s="2029"/>
      <c r="R75" s="2029"/>
      <c r="S75" s="2029"/>
      <c r="T75" s="2029"/>
      <c r="U75" s="2029"/>
      <c r="V75" s="2029"/>
    </row>
    <row r="76" spans="1:22" ht="24.75">
      <c r="A76" s="359" t="s">
        <v>396</v>
      </c>
      <c r="B76" s="3600" t="s">
        <v>422</v>
      </c>
      <c r="C76" s="3642"/>
      <c r="D76" s="362">
        <f ca="1">IF(H76="转让取得",C99,C115)</f>
        <v>7056</v>
      </c>
      <c r="E76" s="17" t="s">
        <v>423</v>
      </c>
      <c r="F76" s="53" t="s">
        <v>21</v>
      </c>
      <c r="G76" s="361"/>
      <c r="H76" s="363" t="s">
        <v>424</v>
      </c>
      <c r="I76" s="42"/>
      <c r="J76" s="2036"/>
      <c r="K76" s="3076" t="str">
        <f>IF(项目基本情况!K6="上海银行",IF(K75="",4,K75+1),"")</f>
        <v/>
      </c>
      <c r="L76" s="3581" t="str">
        <f>IF(项目基本情况!K6="上海银行","其他处置费用","")</f>
        <v/>
      </c>
      <c r="M76" s="3582"/>
      <c r="N76" s="1296" t="str">
        <f>IF(项目基本情况!K6="上海银行",N89,"")</f>
        <v/>
      </c>
      <c r="O76" s="3583" t="str">
        <f>IF(项目基本情况!K6="上海银行","包含处置中涉及的律师、诉讼、拍卖、评估等费用","")</f>
        <v/>
      </c>
      <c r="P76" s="3584"/>
      <c r="Q76" s="2029"/>
      <c r="R76" s="2029"/>
      <c r="S76" s="2029"/>
      <c r="T76" s="2029"/>
      <c r="U76" s="2029"/>
      <c r="V76" s="2029"/>
    </row>
    <row r="77" spans="1:22" ht="26.25" thickBot="1">
      <c r="A77" s="3611" t="s">
        <v>426</v>
      </c>
      <c r="B77" s="3612"/>
      <c r="C77" s="3612"/>
      <c r="D77" s="366">
        <f ca="1">IF(H77="非个人房产","——",IF(H77="个人住宅",0,ROUND(D63*I77,0)))</f>
        <v>136</v>
      </c>
      <c r="E77" s="367" t="str">
        <f>IF(H77="非个人房产","——","销售额×税（费）率")</f>
        <v>销售额×税（费）率</v>
      </c>
      <c r="F77" s="368">
        <f>IF(H77="非个人房产","——",IF(H77="个人住宅","免征",I77))</f>
        <v>0.01</v>
      </c>
      <c r="G77" s="984" t="s">
        <v>417</v>
      </c>
      <c r="H77" s="363" t="s">
        <v>2891</v>
      </c>
      <c r="I77" s="369">
        <v>0.01</v>
      </c>
      <c r="J77" s="2036"/>
      <c r="K77" s="3607">
        <f>IF(AND(K75="",K76=""),4,IF(项目基本情况!K6="上海银行",K76+1,K75+1))</f>
        <v>5</v>
      </c>
      <c r="L77" s="3593" t="s">
        <v>2892</v>
      </c>
      <c r="M77" s="3082" t="s">
        <v>421</v>
      </c>
      <c r="N77" s="1302"/>
      <c r="O77" s="1303">
        <f ca="1">SUMIF(N72:N76,"&lt;9e307")</f>
        <v>7919</v>
      </c>
      <c r="P77" s="1304"/>
      <c r="Q77" s="3080" t="e">
        <f ca="1">O77/N69</f>
        <v>#VALUE!</v>
      </c>
      <c r="R77" s="2029"/>
      <c r="S77" s="2029"/>
      <c r="T77" s="2029"/>
      <c r="U77" s="2029"/>
      <c r="V77" s="2029"/>
    </row>
    <row r="78" spans="1:22" ht="12" customHeight="1">
      <c r="A78" s="1305"/>
      <c r="B78" s="311"/>
      <c r="C78" s="311"/>
      <c r="D78" s="311"/>
      <c r="E78" s="42"/>
      <c r="F78" s="42"/>
      <c r="G78" s="42"/>
      <c r="H78" s="1003"/>
      <c r="I78" s="311"/>
      <c r="J78" s="2036"/>
      <c r="K78" s="3607"/>
      <c r="L78" s="3593"/>
      <c r="M78" s="3082" t="s">
        <v>425</v>
      </c>
      <c r="N78" s="1302"/>
      <c r="O78" s="1303" t="str">
        <f ca="1">NUMBERSTRING(INT(O77*10000),2)&amp;"元整"</f>
        <v>柒仟玖佰壹拾玖万元整</v>
      </c>
      <c r="P78" s="1304"/>
      <c r="Q78" s="2029"/>
      <c r="R78" s="2029"/>
      <c r="S78" s="2029"/>
      <c r="T78" s="2029"/>
      <c r="U78" s="2029"/>
      <c r="V78" s="2029"/>
    </row>
    <row r="79" spans="1:22" ht="13.5" thickBot="1">
      <c r="A79" s="3597" t="s">
        <v>427</v>
      </c>
      <c r="B79" s="3597"/>
      <c r="C79" s="3597"/>
      <c r="D79" s="3597"/>
      <c r="E79" s="3597"/>
      <c r="F79" s="42"/>
      <c r="G79" s="42"/>
      <c r="H79" s="1003"/>
      <c r="I79" s="311"/>
      <c r="J79" s="2036"/>
      <c r="K79" s="3591">
        <f>K77+1</f>
        <v>6</v>
      </c>
      <c r="L79" s="3593" t="s">
        <v>2893</v>
      </c>
      <c r="M79" s="3082" t="s">
        <v>421</v>
      </c>
      <c r="N79" s="1302"/>
      <c r="O79" s="1303" t="e">
        <f ca="1">N69-O77</f>
        <v>#VALUE!</v>
      </c>
      <c r="P79" s="1304"/>
      <c r="Q79" s="2029"/>
      <c r="R79" s="2029"/>
      <c r="S79" s="2029"/>
      <c r="T79" s="2029"/>
      <c r="U79" s="2029"/>
      <c r="V79" s="2029"/>
    </row>
    <row r="80" spans="1:22" ht="12.75">
      <c r="A80" s="3598" t="s">
        <v>428</v>
      </c>
      <c r="B80" s="3599"/>
      <c r="C80" s="994"/>
      <c r="D80" s="994" t="s">
        <v>429</v>
      </c>
      <c r="E80" s="370" t="s">
        <v>430</v>
      </c>
      <c r="F80" s="42"/>
      <c r="G80" s="42"/>
      <c r="H80" s="1003"/>
      <c r="I80" s="311"/>
      <c r="J80" s="2029"/>
      <c r="K80" s="3592"/>
      <c r="L80" s="3593"/>
      <c r="M80" s="3082"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12984</v>
      </c>
      <c r="D81" s="373"/>
      <c r="E81" s="374"/>
      <c r="F81" s="42"/>
      <c r="G81" s="42"/>
      <c r="H81" s="1003"/>
      <c r="I81" s="311"/>
      <c r="J81" s="2029"/>
      <c r="K81" s="3076">
        <f>K79+1</f>
        <v>7</v>
      </c>
      <c r="L81" s="3605" t="s">
        <v>2894</v>
      </c>
      <c r="M81" s="3606"/>
      <c r="N81" s="1306"/>
      <c r="O81" s="1307" t="e">
        <f ca="1">ROUND(O79*10000/'数据-汇总表'!E3,0)</f>
        <v>#VALUE!</v>
      </c>
      <c r="P81" s="1308"/>
      <c r="Q81" s="2029"/>
      <c r="R81" s="2029"/>
      <c r="S81" s="2029"/>
      <c r="T81" s="2029"/>
      <c r="U81" s="2029"/>
      <c r="V81" s="2029"/>
    </row>
    <row r="82" spans="1:26" ht="13.5" thickTop="1">
      <c r="A82" s="375" t="s">
        <v>1826</v>
      </c>
      <c r="B82" s="376" t="s">
        <v>432</v>
      </c>
      <c r="C82" s="377">
        <f ca="1">D63</f>
        <v>13633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580" t="s">
        <v>2881</v>
      </c>
      <c r="L83" s="3088" t="s">
        <v>2882</v>
      </c>
      <c r="M83" s="3078" t="e">
        <f>IF(N69&gt;10000,N69*0.5%,IF(AND(N69&gt;1000,N69&lt;=10000),N69*1%,IF(AND(N69&gt;100,N69&lt;=1000),N69*3%,IF(AND(N69&gt;10,N69&lt;=100),N69*5%,N69*8%))))</f>
        <v>#VALUE!</v>
      </c>
      <c r="N83" s="53" t="e">
        <f>ROUND(M83,1)</f>
        <v>#VALUE!</v>
      </c>
      <c r="O83" s="3081"/>
      <c r="P83" s="2029"/>
      <c r="Q83" s="2029"/>
      <c r="R83" s="2029"/>
      <c r="S83" s="2029"/>
      <c r="T83" s="2029"/>
      <c r="U83" s="2029"/>
      <c r="V83" s="2029"/>
    </row>
    <row r="84" spans="1:26" ht="12.75">
      <c r="A84" s="381" t="s">
        <v>1828</v>
      </c>
      <c r="B84" s="382" t="s">
        <v>434</v>
      </c>
      <c r="C84" s="383">
        <v>2000</v>
      </c>
      <c r="D84" s="384" t="s">
        <v>19</v>
      </c>
      <c r="E84" s="3122" t="s">
        <v>2949</v>
      </c>
      <c r="F84" s="42"/>
      <c r="G84" s="42"/>
      <c r="H84" s="1003"/>
      <c r="I84" s="311"/>
      <c r="J84" s="2029"/>
      <c r="K84" s="3580"/>
      <c r="L84" s="3088" t="s">
        <v>2883</v>
      </c>
      <c r="M84" s="30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2884</v>
      </c>
      <c r="P84" s="2029"/>
      <c r="Q84" s="2029"/>
      <c r="R84" s="2029"/>
      <c r="S84" s="2029"/>
      <c r="T84" s="2029"/>
      <c r="U84" s="2029"/>
      <c r="V84" s="2029"/>
    </row>
    <row r="85" spans="1:26" ht="12.75">
      <c r="A85" s="381" t="s">
        <v>1829</v>
      </c>
      <c r="B85" s="382" t="s">
        <v>435</v>
      </c>
      <c r="C85" s="385">
        <f ca="1">C81-C84</f>
        <v>10984</v>
      </c>
      <c r="D85" s="378" t="s">
        <v>19</v>
      </c>
      <c r="E85" s="379"/>
      <c r="F85" s="42"/>
      <c r="G85" s="42"/>
      <c r="H85" s="1003"/>
      <c r="I85" s="311"/>
      <c r="J85" s="2029"/>
      <c r="K85" s="3580"/>
      <c r="L85" s="3088" t="s">
        <v>2885</v>
      </c>
      <c r="M85" s="3078" t="e">
        <f>IF(N69&gt;1000,N69*0.1%,IF(AND(N69&gt;500,N69&lt;=1000),N69*0.5%,IF(AND(N69&gt;50,N69&lt;=500),N69*1%,IF(AND(N69&gt;1,N69&lt;=50),N69*1.5%))))</f>
        <v>#VALUE!</v>
      </c>
      <c r="N85" s="53" t="e">
        <f t="shared" si="2"/>
        <v>#VALUE!</v>
      </c>
      <c r="O85" s="2029" t="s">
        <v>2884</v>
      </c>
      <c r="P85" s="2029"/>
      <c r="Q85" s="2029"/>
      <c r="R85" s="2029"/>
      <c r="S85" s="2029"/>
      <c r="T85" s="2029"/>
      <c r="U85" s="2029"/>
      <c r="V85" s="2029"/>
    </row>
    <row r="86" spans="1:26" ht="13.5" thickBot="1">
      <c r="A86" s="386" t="s">
        <v>1830</v>
      </c>
      <c r="B86" s="387" t="s">
        <v>436</v>
      </c>
      <c r="C86" s="388">
        <f ca="1">IF(C85&lt;=0,0,ROUND(C85*D86,0))</f>
        <v>615</v>
      </c>
      <c r="D86" s="389">
        <f>'数据-取费表'!B41</f>
        <v>5.6000000000000001E-2</v>
      </c>
      <c r="E86" s="390"/>
      <c r="F86" s="42"/>
      <c r="G86" s="42"/>
      <c r="H86" s="1003"/>
      <c r="I86" s="311"/>
      <c r="J86" s="2029"/>
      <c r="K86" s="3580"/>
      <c r="L86" s="3088" t="s">
        <v>2886</v>
      </c>
      <c r="M86" s="3078" t="e">
        <f>N69*0.5%</f>
        <v>#VALUE!</v>
      </c>
      <c r="N86" s="53" t="e">
        <f>IF(M86&gt;0.5,0.5,ROUND(M86,0))</f>
        <v>#VALUE!</v>
      </c>
      <c r="O86" s="2029" t="s">
        <v>2887</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580"/>
      <c r="L87" s="3088" t="s">
        <v>2888</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1"/>
      <c r="Q87" s="2029"/>
      <c r="R87" s="2029"/>
      <c r="S87" s="2029"/>
      <c r="T87" s="2029"/>
      <c r="U87" s="2029"/>
      <c r="V87" s="2029"/>
      <c r="W87" s="292"/>
      <c r="X87" s="292"/>
      <c r="Y87" s="292"/>
      <c r="Z87" s="292"/>
    </row>
    <row r="88" spans="1:26" s="1314" customFormat="1" ht="15" thickBot="1">
      <c r="A88" s="3634" t="s">
        <v>437</v>
      </c>
      <c r="B88" s="3635"/>
      <c r="C88" s="3635"/>
      <c r="D88" s="3635"/>
      <c r="E88" s="3635"/>
      <c r="F88" s="3635"/>
      <c r="G88" s="3635"/>
      <c r="H88" s="3635"/>
      <c r="I88" s="1315"/>
      <c r="J88" s="2037"/>
      <c r="K88" s="3580"/>
      <c r="L88" s="3088" t="s">
        <v>2889</v>
      </c>
      <c r="M88" s="3078" t="e">
        <f>IF(N69&gt;10000,N69*0.5%,IF(AND(N69&gt;5000,N69&lt;=10000),N69*1%,IF(AND(N69&gt;1000,N69&lt;=5000),N69*2%,IF(AND(N69&gt;200,N69&lt;=1000),N69*3%,N69*5%))))</f>
        <v>#VALUE!</v>
      </c>
      <c r="N88" s="53" t="e">
        <f>ROUND(M88,1)</f>
        <v>#VALUE!</v>
      </c>
      <c r="O88" s="3081"/>
      <c r="P88" s="11"/>
      <c r="Q88" s="2034"/>
      <c r="R88" s="2034"/>
      <c r="S88" s="2034"/>
      <c r="T88" s="2034"/>
      <c r="U88" s="2034"/>
      <c r="V88" s="2034"/>
      <c r="W88" s="2038"/>
      <c r="X88" s="2038"/>
      <c r="Y88" s="2038"/>
      <c r="Z88" s="2038"/>
    </row>
    <row r="89" spans="1:26" s="1314" customFormat="1" ht="14.25">
      <c r="A89" s="3598" t="s">
        <v>428</v>
      </c>
      <c r="B89" s="3599"/>
      <c r="C89" s="994"/>
      <c r="D89" s="994" t="s">
        <v>429</v>
      </c>
      <c r="E89" s="391" t="s">
        <v>438</v>
      </c>
      <c r="F89" s="392"/>
      <c r="G89" s="392"/>
      <c r="H89" s="393"/>
      <c r="I89" s="1316"/>
      <c r="J89" s="2039"/>
      <c r="K89" s="3580"/>
      <c r="L89" s="3088" t="s">
        <v>27</v>
      </c>
      <c r="M89" s="3079"/>
      <c r="N89" s="53" t="e">
        <f>ROUND(SUM(N83:N88),0)</f>
        <v>#VALUE!</v>
      </c>
      <c r="O89" s="3089"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12984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2659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631" t="s">
        <v>447</v>
      </c>
      <c r="F94" s="3632"/>
      <c r="G94" s="3632"/>
      <c r="H94" s="363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78</v>
      </c>
      <c r="D96" s="406">
        <f>'数据-取费表'!B43</f>
        <v>6.000000000000001E-3</v>
      </c>
      <c r="E96" s="3621" t="s">
        <v>2433</v>
      </c>
      <c r="F96" s="3622"/>
      <c r="G96" s="3622"/>
      <c r="H96" s="362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10325</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3.8830387363670553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5264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34" t="s">
        <v>454</v>
      </c>
      <c r="B101" s="3635"/>
      <c r="C101" s="3635"/>
      <c r="D101" s="3635"/>
      <c r="E101" s="3635"/>
      <c r="F101" s="3635"/>
      <c r="G101" s="3635"/>
      <c r="H101" s="363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598" t="s">
        <v>428</v>
      </c>
      <c r="B102" s="3599"/>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12984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773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24" t="s">
        <v>462</v>
      </c>
      <c r="F109" s="3622"/>
      <c r="G109" s="3622"/>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24" t="s">
        <v>464</v>
      </c>
      <c r="F110" s="3622"/>
      <c r="G110" s="3622"/>
      <c r="H110" s="362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78</v>
      </c>
      <c r="D111" s="406">
        <f>'数据-取费表'!B43</f>
        <v>6.000000000000001E-3</v>
      </c>
      <c r="E111" s="3621" t="s">
        <v>2433</v>
      </c>
      <c r="F111" s="3622"/>
      <c r="G111" s="3622"/>
      <c r="H111" s="362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24" t="s">
        <v>2458</v>
      </c>
      <c r="F112" s="3622"/>
      <c r="G112" s="3622"/>
      <c r="H112" s="362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12211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15.796895213454075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7056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40" zoomScale="80" zoomScaleNormal="80" zoomScaleSheetLayoutView="80" workbookViewId="0">
      <selection activeCell="L74" sqref="L74"/>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14416</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1718</v>
      </c>
      <c r="C3" s="2062"/>
      <c r="D3" s="2593"/>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4054</v>
      </c>
      <c r="C4" s="2062"/>
      <c r="D4" s="2593"/>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270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79" t="s">
        <v>523</v>
      </c>
      <c r="D6" s="3680"/>
      <c r="E6" s="3679" t="s">
        <v>524</v>
      </c>
      <c r="F6" s="3680"/>
      <c r="G6" s="3679" t="s">
        <v>525</v>
      </c>
      <c r="H6" s="3680"/>
      <c r="I6" s="3679" t="s">
        <v>526</v>
      </c>
      <c r="J6" s="3680"/>
      <c r="K6" s="514" t="s">
        <v>527</v>
      </c>
      <c r="L6" s="2134"/>
      <c r="M6" s="2133"/>
      <c r="N6" s="2133"/>
      <c r="O6" s="2135"/>
      <c r="P6" s="3681" t="s">
        <v>528</v>
      </c>
      <c r="Q6" s="3682"/>
      <c r="R6" s="3667" t="s">
        <v>524</v>
      </c>
      <c r="S6" s="3668"/>
      <c r="T6" s="3667" t="s">
        <v>525</v>
      </c>
      <c r="U6" s="3668"/>
      <c r="V6" s="3687" t="s">
        <v>526</v>
      </c>
      <c r="W6" s="3687"/>
      <c r="X6" s="1568"/>
      <c r="Y6" s="3667" t="s">
        <v>528</v>
      </c>
      <c r="Z6" s="3668"/>
      <c r="AA6" s="3662" t="s">
        <v>524</v>
      </c>
      <c r="AB6" s="3663" t="s">
        <v>525</v>
      </c>
      <c r="AC6" s="3662" t="s">
        <v>526</v>
      </c>
    </row>
    <row r="7" spans="1:30" ht="20.25">
      <c r="A7" s="515"/>
      <c r="B7" s="516"/>
      <c r="C7" s="3690" t="s">
        <v>2936</v>
      </c>
      <c r="D7" s="3691"/>
      <c r="E7" s="3690" t="str">
        <f>土地案例!A2</f>
        <v>新郑市郑新路东侧、新村大道北侧</v>
      </c>
      <c r="F7" s="3691"/>
      <c r="G7" s="3690" t="str">
        <f>土地案例!A3</f>
        <v>新村镇新村北路南侧、规划华瑞路西侧</v>
      </c>
      <c r="H7" s="3691"/>
      <c r="I7" s="3690" t="str">
        <f>土地案例!A4</f>
        <v>新村镇滨河南路南侧、规划华瑞路西侧</v>
      </c>
      <c r="J7" s="3691"/>
      <c r="K7" s="514"/>
      <c r="L7" s="2134"/>
      <c r="M7" s="2133"/>
      <c r="N7" s="2133"/>
      <c r="O7" s="2135"/>
      <c r="P7" s="3683"/>
      <c r="Q7" s="3684"/>
      <c r="R7" s="3669"/>
      <c r="S7" s="3670"/>
      <c r="T7" s="3669"/>
      <c r="U7" s="3670"/>
      <c r="V7" s="3687"/>
      <c r="W7" s="3687"/>
      <c r="X7" s="1568"/>
      <c r="Y7" s="3669"/>
      <c r="Z7" s="3670"/>
      <c r="AA7" s="3663"/>
      <c r="AB7" s="3663"/>
      <c r="AC7" s="3663"/>
    </row>
    <row r="8" spans="1:30" ht="21" thickBot="1">
      <c r="A8" s="515"/>
      <c r="B8" s="516"/>
      <c r="C8" s="3692" t="s">
        <v>2940</v>
      </c>
      <c r="D8" s="3693"/>
      <c r="E8" s="3692" t="s">
        <v>2940</v>
      </c>
      <c r="F8" s="3693"/>
      <c r="G8" s="3688" t="s">
        <v>2940</v>
      </c>
      <c r="H8" s="3689"/>
      <c r="I8" s="3688" t="s">
        <v>2940</v>
      </c>
      <c r="J8" s="3689"/>
      <c r="K8" s="514" t="s">
        <v>529</v>
      </c>
      <c r="L8" s="2134"/>
      <c r="M8" s="2133"/>
      <c r="N8" s="2133"/>
      <c r="O8" s="2135"/>
      <c r="P8" s="3685"/>
      <c r="Q8" s="3686"/>
      <c r="R8" s="3669"/>
      <c r="S8" s="3670"/>
      <c r="T8" s="3671"/>
      <c r="U8" s="3672"/>
      <c r="V8" s="3687"/>
      <c r="W8" s="3687"/>
      <c r="X8" s="1568"/>
      <c r="Y8" s="3671"/>
      <c r="Z8" s="3672"/>
      <c r="AA8" s="3664"/>
      <c r="AB8" s="3664"/>
      <c r="AC8" s="3664"/>
    </row>
    <row r="9" spans="1:30" s="1220" customFormat="1" ht="21" thickBot="1">
      <c r="A9" s="2936"/>
      <c r="B9" s="2943" t="s">
        <v>530</v>
      </c>
      <c r="C9" s="2935">
        <f>'数据-取费表'!B2</f>
        <v>43136</v>
      </c>
      <c r="D9" s="520">
        <v>100</v>
      </c>
      <c r="E9" s="521" t="str">
        <f>土地案例!L2</f>
        <v>2017-11-28</v>
      </c>
      <c r="F9" s="522">
        <f>SUMIF(72:72,YEAR(E9)&amp;"-"&amp;INT((MONTH(E9)+2)/3),73:73)</f>
        <v>99</v>
      </c>
      <c r="G9" s="523" t="str">
        <f>土地案例!L3</f>
        <v>2017-06-22</v>
      </c>
      <c r="H9" s="520">
        <f>SUMIF(72:72,YEAR(G9)&amp;"-"&amp;INT((MONTH(G9)+2)/3),73:73)</f>
        <v>97</v>
      </c>
      <c r="I9" s="523" t="str">
        <f>土地案例!L4</f>
        <v>2017-06-22</v>
      </c>
      <c r="J9" s="520">
        <f>SUMIF(72:72,YEAR(I9)&amp;"-"&amp;INT((MONTH(I9)+2)/3),73:73)</f>
        <v>97</v>
      </c>
      <c r="K9" s="524"/>
      <c r="L9" s="2136"/>
      <c r="M9" s="2133"/>
      <c r="N9" s="2133"/>
      <c r="O9" s="2137"/>
      <c r="P9" s="3665" t="s">
        <v>531</v>
      </c>
      <c r="Q9" s="3674"/>
      <c r="R9" s="1569" t="s">
        <v>8</v>
      </c>
      <c r="S9" s="1570">
        <f t="shared" ref="S9:S17" si="0">F9</f>
        <v>99</v>
      </c>
      <c r="T9" s="1569" t="s">
        <v>8</v>
      </c>
      <c r="U9" s="1570">
        <f t="shared" ref="U9:U17" si="1">H9</f>
        <v>97</v>
      </c>
      <c r="V9" s="1569" t="s">
        <v>8</v>
      </c>
      <c r="W9" s="1570">
        <f t="shared" ref="W9:W17" si="2">J9</f>
        <v>97</v>
      </c>
      <c r="X9" s="1571"/>
      <c r="Y9" s="3665" t="s">
        <v>531</v>
      </c>
      <c r="Z9" s="3666"/>
      <c r="AA9" s="1572">
        <f>D9/F9</f>
        <v>1.0101010101010102</v>
      </c>
      <c r="AB9" s="1572">
        <f>D9/H9</f>
        <v>1.0309278350515463</v>
      </c>
      <c r="AC9" s="1572">
        <f>D9/J9</f>
        <v>1.0309278350515463</v>
      </c>
    </row>
    <row r="10" spans="1:30" s="1220" customFormat="1" ht="21" thickBot="1">
      <c r="A10" s="2937"/>
      <c r="B10" s="2944"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65" t="s">
        <v>534</v>
      </c>
      <c r="Q10" s="3666"/>
      <c r="R10" s="1569" t="s">
        <v>8</v>
      </c>
      <c r="S10" s="1570">
        <f t="shared" si="0"/>
        <v>100</v>
      </c>
      <c r="T10" s="1569" t="s">
        <v>8</v>
      </c>
      <c r="U10" s="1570">
        <f t="shared" si="1"/>
        <v>100</v>
      </c>
      <c r="V10" s="1569" t="s">
        <v>8</v>
      </c>
      <c r="W10" s="1570">
        <f t="shared" si="2"/>
        <v>100</v>
      </c>
      <c r="X10" s="1571"/>
      <c r="Y10" s="3665" t="s">
        <v>534</v>
      </c>
      <c r="Z10" s="3666"/>
      <c r="AA10" s="1572">
        <f t="shared" ref="AA10:AA47" si="3">D10/F10</f>
        <v>1</v>
      </c>
      <c r="AB10" s="1572">
        <f t="shared" ref="AB10:AB47" si="4">D10/H10</f>
        <v>1</v>
      </c>
      <c r="AC10" s="1572">
        <f t="shared" ref="AC10:AC47" si="5">D10/J10</f>
        <v>1</v>
      </c>
    </row>
    <row r="11" spans="1:30" s="1220" customFormat="1" ht="20.25">
      <c r="A11" s="2938"/>
      <c r="B11" s="2945" t="s">
        <v>2763</v>
      </c>
      <c r="C11" s="2932" t="s">
        <v>924</v>
      </c>
      <c r="D11" s="254">
        <v>100</v>
      </c>
      <c r="E11" s="2932" t="s">
        <v>924</v>
      </c>
      <c r="F11" s="254">
        <f>SUMIF(77:77,E11,78:78)-SUMIF(77:77,C11,78:78)+100</f>
        <v>100</v>
      </c>
      <c r="G11" s="2932" t="s">
        <v>924</v>
      </c>
      <c r="H11" s="254">
        <f>SUMIF(77:77,G11,78:78)-SUMIF(77:77,C11,78:78)+100</f>
        <v>100</v>
      </c>
      <c r="I11" s="2932" t="s">
        <v>924</v>
      </c>
      <c r="J11" s="254">
        <f>SUMIF(77:77,I11,78:78)-SUMIF(77:77,C11,78:78)+100</f>
        <v>100</v>
      </c>
      <c r="K11" s="524"/>
      <c r="L11" s="2136"/>
      <c r="M11" s="2133"/>
      <c r="N11" s="2133"/>
      <c r="O11" s="2138"/>
      <c r="P11" s="3673" t="s">
        <v>536</v>
      </c>
      <c r="Q11" s="1151" t="str">
        <f t="shared" ref="Q11:Q17" si="6">B11</f>
        <v>用途</v>
      </c>
      <c r="R11" s="1569" t="s">
        <v>8</v>
      </c>
      <c r="S11" s="1570">
        <f t="shared" si="0"/>
        <v>100</v>
      </c>
      <c r="T11" s="1569" t="s">
        <v>8</v>
      </c>
      <c r="U11" s="1570">
        <f t="shared" si="1"/>
        <v>100</v>
      </c>
      <c r="V11" s="1569" t="s">
        <v>8</v>
      </c>
      <c r="W11" s="1570">
        <f t="shared" si="2"/>
        <v>100</v>
      </c>
      <c r="X11" s="1571"/>
      <c r="Y11" s="3630" t="s">
        <v>537</v>
      </c>
      <c r="Z11" s="1150" t="str">
        <f t="shared" ref="Z11:Z17" si="7">Q11</f>
        <v>用途</v>
      </c>
      <c r="AA11" s="1572">
        <f t="shared" si="3"/>
        <v>1</v>
      </c>
      <c r="AB11" s="1572">
        <f t="shared" si="4"/>
        <v>1</v>
      </c>
      <c r="AC11" s="1572">
        <f t="shared" si="5"/>
        <v>1</v>
      </c>
    </row>
    <row r="12" spans="1:30" s="1338" customFormat="1" ht="27">
      <c r="A12" s="2939"/>
      <c r="B12" s="2944" t="s">
        <v>2764</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73"/>
      <c r="Q12" s="1151" t="str">
        <f t="shared" si="6"/>
        <v>土地使用年限（年）</v>
      </c>
      <c r="R12" s="1569" t="s">
        <v>8</v>
      </c>
      <c r="S12" s="1570">
        <f t="shared" si="0"/>
        <v>100</v>
      </c>
      <c r="T12" s="1569" t="s">
        <v>8</v>
      </c>
      <c r="U12" s="1570">
        <f t="shared" si="1"/>
        <v>100</v>
      </c>
      <c r="V12" s="1569" t="s">
        <v>8</v>
      </c>
      <c r="W12" s="1570">
        <f t="shared" si="2"/>
        <v>100</v>
      </c>
      <c r="X12" s="1571"/>
      <c r="Y12" s="3630"/>
      <c r="Z12" s="1150" t="str">
        <f t="shared" si="7"/>
        <v>土地使用年限（年）</v>
      </c>
      <c r="AA12" s="1572">
        <f t="shared" si="3"/>
        <v>1</v>
      </c>
      <c r="AB12" s="1572">
        <f t="shared" si="4"/>
        <v>1</v>
      </c>
      <c r="AC12" s="1572">
        <f t="shared" si="5"/>
        <v>1</v>
      </c>
    </row>
    <row r="13" spans="1:30" ht="21" thickBot="1">
      <c r="A13" s="2940"/>
      <c r="B13" s="2944" t="s">
        <v>2765</v>
      </c>
      <c r="C13" s="534">
        <v>1.5</v>
      </c>
      <c r="D13" s="255">
        <v>100</v>
      </c>
      <c r="E13" s="533">
        <v>2.5</v>
      </c>
      <c r="F13" s="255">
        <f>LOOKUP(E13,82:82,83:83)-LOOKUP(C13,82:82,83:83)+100</f>
        <v>90</v>
      </c>
      <c r="G13" s="534">
        <v>2</v>
      </c>
      <c r="H13" s="255">
        <f>LOOKUP(G13,82:82,83:83)-LOOKUP(C13,82:82,83:83)+100</f>
        <v>95</v>
      </c>
      <c r="I13" s="533">
        <v>2</v>
      </c>
      <c r="J13" s="255">
        <f>LOOKUP(I13,82:82,83:83)-LOOKUP(C13,82:82,83:83)+100</f>
        <v>95</v>
      </c>
      <c r="K13" s="535">
        <v>5</v>
      </c>
      <c r="L13" s="2141"/>
      <c r="M13" s="2133"/>
      <c r="N13" s="2133"/>
      <c r="O13" s="2142"/>
      <c r="P13" s="3673"/>
      <c r="Q13" s="1151" t="str">
        <f t="shared" si="6"/>
        <v>容积率</v>
      </c>
      <c r="R13" s="1569" t="s">
        <v>8</v>
      </c>
      <c r="S13" s="1570">
        <f t="shared" si="0"/>
        <v>90</v>
      </c>
      <c r="T13" s="1569" t="s">
        <v>8</v>
      </c>
      <c r="U13" s="1570">
        <f t="shared" si="1"/>
        <v>95</v>
      </c>
      <c r="V13" s="1569" t="s">
        <v>8</v>
      </c>
      <c r="W13" s="1570">
        <f t="shared" si="2"/>
        <v>95</v>
      </c>
      <c r="X13" s="1571"/>
      <c r="Y13" s="3630"/>
      <c r="Z13" s="1150" t="str">
        <f t="shared" si="7"/>
        <v>容积率</v>
      </c>
      <c r="AA13" s="1572">
        <f t="shared" si="3"/>
        <v>1.1111111111111112</v>
      </c>
      <c r="AB13" s="1572">
        <f t="shared" si="4"/>
        <v>1.0526315789473684</v>
      </c>
      <c r="AC13" s="1572">
        <f t="shared" si="5"/>
        <v>1.0526315789473684</v>
      </c>
    </row>
    <row r="14" spans="1:30" s="1220" customFormat="1" ht="21" hidden="1" thickBot="1">
      <c r="A14" s="2937"/>
      <c r="B14" s="2946" t="s">
        <v>2766</v>
      </c>
      <c r="C14" s="2933"/>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73"/>
      <c r="Q14" s="1151" t="str">
        <f t="shared" si="6"/>
        <v>配建</v>
      </c>
      <c r="R14" s="1569" t="s">
        <v>8</v>
      </c>
      <c r="S14" s="1570">
        <f t="shared" si="0"/>
        <v>100</v>
      </c>
      <c r="T14" s="1569" t="s">
        <v>8</v>
      </c>
      <c r="U14" s="1570">
        <f t="shared" si="1"/>
        <v>100</v>
      </c>
      <c r="V14" s="1569" t="s">
        <v>8</v>
      </c>
      <c r="W14" s="1570">
        <f t="shared" si="2"/>
        <v>100</v>
      </c>
      <c r="X14" s="1571"/>
      <c r="Y14" s="3630"/>
      <c r="Z14" s="1150" t="str">
        <f t="shared" si="7"/>
        <v>配建</v>
      </c>
      <c r="AA14" s="1572">
        <f>D14/F14</f>
        <v>1</v>
      </c>
      <c r="AB14" s="1572">
        <f>D14/H14</f>
        <v>1</v>
      </c>
      <c r="AC14" s="1572">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73"/>
      <c r="Q15" s="1151">
        <f t="shared" si="6"/>
        <v>111</v>
      </c>
      <c r="R15" s="1569" t="s">
        <v>8</v>
      </c>
      <c r="S15" s="1570">
        <f t="shared" si="0"/>
        <v>100</v>
      </c>
      <c r="T15" s="1569" t="s">
        <v>8</v>
      </c>
      <c r="U15" s="1570">
        <f t="shared" si="1"/>
        <v>100</v>
      </c>
      <c r="V15" s="1569" t="s">
        <v>8</v>
      </c>
      <c r="W15" s="1570">
        <f t="shared" si="2"/>
        <v>100</v>
      </c>
      <c r="X15" s="1571"/>
      <c r="Y15" s="3630"/>
      <c r="Z15" s="1150">
        <f t="shared" si="7"/>
        <v>111</v>
      </c>
      <c r="AA15" s="1572">
        <f>D15/F15</f>
        <v>1</v>
      </c>
      <c r="AB15" s="1572">
        <f>D15/H15</f>
        <v>1</v>
      </c>
      <c r="AC15" s="1572">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73"/>
      <c r="Q16" s="1151">
        <f t="shared" si="6"/>
        <v>111</v>
      </c>
      <c r="R16" s="1569" t="s">
        <v>8</v>
      </c>
      <c r="S16" s="1570">
        <f t="shared" si="0"/>
        <v>100</v>
      </c>
      <c r="T16" s="1569" t="s">
        <v>8</v>
      </c>
      <c r="U16" s="1570">
        <f t="shared" si="1"/>
        <v>100</v>
      </c>
      <c r="V16" s="1569" t="s">
        <v>8</v>
      </c>
      <c r="W16" s="1570">
        <f t="shared" si="2"/>
        <v>100</v>
      </c>
      <c r="X16" s="1571"/>
      <c r="Y16" s="3630"/>
      <c r="Z16" s="1150">
        <f t="shared" si="7"/>
        <v>111</v>
      </c>
      <c r="AA16" s="1572">
        <f>D16/F16</f>
        <v>1</v>
      </c>
      <c r="AB16" s="1572">
        <f>D16/H16</f>
        <v>1</v>
      </c>
      <c r="AC16" s="1572">
        <f>D16/J16</f>
        <v>1</v>
      </c>
    </row>
    <row r="17" spans="1:29" ht="54.75">
      <c r="A17" s="2934" t="s">
        <v>2761</v>
      </c>
      <c r="B17" s="578" t="s">
        <v>295</v>
      </c>
      <c r="C17" s="548" t="str">
        <f>估价对象房地状况!C15</f>
        <v>3.7公里 绿地香湖湾</v>
      </c>
      <c r="D17" s="551">
        <v>100</v>
      </c>
      <c r="E17" s="552" t="s">
        <v>3251</v>
      </c>
      <c r="F17" s="549">
        <f>SUMIF(90:90,E18,91:91)-SUMIF(90:90,C18,91:91)+100</f>
        <v>103</v>
      </c>
      <c r="G17" s="550" t="s">
        <v>3252</v>
      </c>
      <c r="H17" s="549">
        <f>SUMIF(90:90,G18,91:91)-SUMIF(90:90,C18,91:91)+100</f>
        <v>103</v>
      </c>
      <c r="I17" s="550" t="s">
        <v>3252</v>
      </c>
      <c r="J17" s="549">
        <f>SUMIF(90:90,I18,91:91)-SUMIF(90:90,C18,91:91)+100</f>
        <v>103</v>
      </c>
      <c r="K17" s="535">
        <v>3</v>
      </c>
      <c r="L17" s="2143"/>
      <c r="M17" s="2133"/>
      <c r="N17" s="2133"/>
      <c r="O17" s="2142"/>
      <c r="P17" s="3675" t="s">
        <v>541</v>
      </c>
      <c r="Q17" s="1573" t="str">
        <f t="shared" si="6"/>
        <v>居住社区成熟度</v>
      </c>
      <c r="R17" s="1574" t="s">
        <v>8</v>
      </c>
      <c r="S17" s="1575">
        <f t="shared" si="0"/>
        <v>103</v>
      </c>
      <c r="T17" s="1574" t="s">
        <v>8</v>
      </c>
      <c r="U17" s="1575">
        <f t="shared" si="1"/>
        <v>103</v>
      </c>
      <c r="V17" s="1574" t="s">
        <v>8</v>
      </c>
      <c r="W17" s="1575">
        <f t="shared" si="2"/>
        <v>103</v>
      </c>
      <c r="X17" s="1568"/>
      <c r="Y17" s="3675" t="s">
        <v>541</v>
      </c>
      <c r="Z17" s="1576" t="str">
        <f t="shared" si="7"/>
        <v>居住社区成熟度</v>
      </c>
      <c r="AA17" s="1577">
        <f t="shared" si="3"/>
        <v>0.970873786407767</v>
      </c>
      <c r="AB17" s="1577">
        <f t="shared" si="4"/>
        <v>0.970873786407767</v>
      </c>
      <c r="AC17" s="1577">
        <f t="shared" si="5"/>
        <v>0.970873786407767</v>
      </c>
    </row>
    <row r="18" spans="1:29" ht="20.25">
      <c r="A18" s="532"/>
      <c r="B18" s="553"/>
      <c r="C18" s="554" t="s">
        <v>3248</v>
      </c>
      <c r="D18" s="557"/>
      <c r="E18" s="558" t="s">
        <v>3246</v>
      </c>
      <c r="F18" s="555"/>
      <c r="G18" s="556" t="s">
        <v>3246</v>
      </c>
      <c r="H18" s="559"/>
      <c r="I18" s="558" t="s">
        <v>3246</v>
      </c>
      <c r="J18" s="555"/>
      <c r="K18" s="531"/>
      <c r="L18" s="2143"/>
      <c r="M18" s="2133"/>
      <c r="N18" s="2133"/>
      <c r="O18" s="2142"/>
      <c r="P18" s="3676"/>
      <c r="Q18" s="1573"/>
      <c r="R18" s="1574"/>
      <c r="S18" s="1575"/>
      <c r="T18" s="1574"/>
      <c r="U18" s="1575"/>
      <c r="V18" s="1574"/>
      <c r="W18" s="1575"/>
      <c r="X18" s="1568"/>
      <c r="Y18" s="3676"/>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76"/>
      <c r="Q19" s="1573" t="str">
        <f>B19</f>
        <v>商业繁华度</v>
      </c>
      <c r="R19" s="1574" t="s">
        <v>8</v>
      </c>
      <c r="S19" s="1575">
        <f>F19</f>
        <v>100</v>
      </c>
      <c r="T19" s="1574" t="s">
        <v>8</v>
      </c>
      <c r="U19" s="1575">
        <f>H19</f>
        <v>100</v>
      </c>
      <c r="V19" s="1574" t="s">
        <v>8</v>
      </c>
      <c r="W19" s="1575">
        <f>J19</f>
        <v>100</v>
      </c>
      <c r="X19" s="1568"/>
      <c r="Y19" s="3676"/>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676"/>
      <c r="Q20" s="1573"/>
      <c r="R20" s="1574"/>
      <c r="S20" s="1575"/>
      <c r="T20" s="1574"/>
      <c r="U20" s="1575"/>
      <c r="V20" s="1574"/>
      <c r="W20" s="1575"/>
      <c r="X20" s="1568"/>
      <c r="Y20" s="3676"/>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76"/>
      <c r="Q21" s="1573" t="str">
        <f>B21</f>
        <v>办公集聚程度</v>
      </c>
      <c r="R21" s="1574" t="s">
        <v>8</v>
      </c>
      <c r="S21" s="1575">
        <f>F21</f>
        <v>100</v>
      </c>
      <c r="T21" s="1574" t="s">
        <v>8</v>
      </c>
      <c r="U21" s="1575">
        <f>H21</f>
        <v>100</v>
      </c>
      <c r="V21" s="1574" t="s">
        <v>8</v>
      </c>
      <c r="W21" s="1575">
        <f>J21</f>
        <v>100</v>
      </c>
      <c r="X21" s="1568"/>
      <c r="Y21" s="367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676"/>
      <c r="Q22" s="1573"/>
      <c r="R22" s="1574"/>
      <c r="S22" s="1575"/>
      <c r="T22" s="1574"/>
      <c r="U22" s="1575"/>
      <c r="V22" s="1574"/>
      <c r="W22" s="1575"/>
      <c r="X22" s="1568"/>
      <c r="Y22" s="3676"/>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t="s">
        <v>3245</v>
      </c>
      <c r="F23" s="565">
        <f>SUMIF(96:96,E24,97:97)-SUMIF(96:96,C24,97:97)+100</f>
        <v>103</v>
      </c>
      <c r="G23" s="562" t="s">
        <v>3247</v>
      </c>
      <c r="H23" s="559">
        <f>SUMIF(96:96,G24,97:97)-SUMIF(96:96,C24,97:97)+100</f>
        <v>103</v>
      </c>
      <c r="I23" s="562" t="s">
        <v>3247</v>
      </c>
      <c r="J23" s="559">
        <f>SUMIF(96:96,I24,97:97)-SUMIF(96:96,C24,97:97)+100</f>
        <v>103</v>
      </c>
      <c r="K23" s="535">
        <v>3</v>
      </c>
      <c r="L23" s="2143"/>
      <c r="M23" s="2133"/>
      <c r="N23" s="2133"/>
      <c r="O23" s="2142"/>
      <c r="P23" s="3676"/>
      <c r="Q23" s="1573" t="str">
        <f>B23</f>
        <v>交通便捷度</v>
      </c>
      <c r="R23" s="1574" t="s">
        <v>8</v>
      </c>
      <c r="S23" s="1575">
        <f>F23</f>
        <v>103</v>
      </c>
      <c r="T23" s="1574" t="s">
        <v>8</v>
      </c>
      <c r="U23" s="1575">
        <f>H23</f>
        <v>103</v>
      </c>
      <c r="V23" s="1574" t="s">
        <v>8</v>
      </c>
      <c r="W23" s="1575">
        <f>J23</f>
        <v>103</v>
      </c>
      <c r="X23" s="1568"/>
      <c r="Y23" s="3676"/>
      <c r="Z23" s="1576" t="str">
        <f>Q23</f>
        <v>交通便捷度</v>
      </c>
      <c r="AA23" s="1577">
        <f t="shared" si="3"/>
        <v>0.970873786407767</v>
      </c>
      <c r="AB23" s="1577">
        <f t="shared" si="4"/>
        <v>0.970873786407767</v>
      </c>
      <c r="AC23" s="1577">
        <f t="shared" si="5"/>
        <v>0.970873786407767</v>
      </c>
    </row>
    <row r="24" spans="1:29" ht="20.25">
      <c r="A24" s="532"/>
      <c r="B24" s="578"/>
      <c r="C24" s="554" t="s">
        <v>3249</v>
      </c>
      <c r="D24" s="557"/>
      <c r="E24" s="3483" t="s">
        <v>3248</v>
      </c>
      <c r="F24" s="555"/>
      <c r="G24" s="556" t="s">
        <v>3248</v>
      </c>
      <c r="H24" s="555"/>
      <c r="I24" s="558" t="s">
        <v>3248</v>
      </c>
      <c r="J24" s="555"/>
      <c r="K24" s="531"/>
      <c r="L24" s="2143"/>
      <c r="M24" s="2133"/>
      <c r="N24" s="2133"/>
      <c r="O24" s="2142"/>
      <c r="P24" s="3676"/>
      <c r="Q24" s="1573"/>
      <c r="R24" s="1574"/>
      <c r="S24" s="1575"/>
      <c r="T24" s="1574"/>
      <c r="U24" s="1575"/>
      <c r="V24" s="1574"/>
      <c r="W24" s="1575"/>
      <c r="X24" s="1568"/>
      <c r="Y24" s="3676"/>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676"/>
      <c r="Q25" s="1573" t="str">
        <f t="shared" ref="Q25:Q39" si="8">B25</f>
        <v>区域土地利用方向</v>
      </c>
      <c r="R25" s="1574" t="s">
        <v>8</v>
      </c>
      <c r="S25" s="1575">
        <f>F25</f>
        <v>100</v>
      </c>
      <c r="T25" s="1574" t="s">
        <v>8</v>
      </c>
      <c r="U25" s="1575">
        <f>H25</f>
        <v>100</v>
      </c>
      <c r="V25" s="1574" t="s">
        <v>8</v>
      </c>
      <c r="W25" s="1575">
        <f>J25</f>
        <v>100</v>
      </c>
      <c r="X25" s="1568"/>
      <c r="Y25" s="3676"/>
      <c r="Z25" s="1576" t="str">
        <f>Q25</f>
        <v>区域土地利用方向</v>
      </c>
      <c r="AA25" s="1577">
        <f t="shared" si="3"/>
        <v>1</v>
      </c>
      <c r="AB25" s="1577">
        <f t="shared" si="4"/>
        <v>1</v>
      </c>
      <c r="AC25" s="1577">
        <f t="shared" si="5"/>
        <v>1</v>
      </c>
    </row>
    <row r="26" spans="1:29" ht="20.25">
      <c r="A26" s="515"/>
      <c r="B26" s="1007"/>
      <c r="C26" s="554" t="s">
        <v>3248</v>
      </c>
      <c r="D26" s="557"/>
      <c r="E26" s="554" t="s">
        <v>3248</v>
      </c>
      <c r="F26" s="555"/>
      <c r="G26" s="554" t="s">
        <v>3248</v>
      </c>
      <c r="H26" s="555"/>
      <c r="I26" s="554" t="s">
        <v>3248</v>
      </c>
      <c r="J26" s="555"/>
      <c r="K26" s="531"/>
      <c r="L26" s="2143"/>
      <c r="M26" s="2133"/>
      <c r="N26" s="2133"/>
      <c r="O26" s="2142"/>
      <c r="P26" s="3676"/>
      <c r="Q26" s="1573"/>
      <c r="R26" s="1574"/>
      <c r="S26" s="1575"/>
      <c r="T26" s="1574"/>
      <c r="U26" s="1575"/>
      <c r="V26" s="1574"/>
      <c r="W26" s="1575"/>
      <c r="X26" s="1568"/>
      <c r="Y26" s="3676"/>
      <c r="Z26" s="1576"/>
      <c r="AA26" s="1577"/>
      <c r="AB26" s="1577"/>
      <c r="AC26" s="1577"/>
    </row>
    <row r="27" spans="1:29" ht="137.25">
      <c r="A27" s="515"/>
      <c r="B27" s="578" t="s">
        <v>546</v>
      </c>
      <c r="C27" s="561" t="str">
        <f>估价对象房地状况!C20</f>
        <v>1.8公里双鹤湖公园、</v>
      </c>
      <c r="D27" s="563">
        <v>100</v>
      </c>
      <c r="E27" s="564" t="s">
        <v>3254</v>
      </c>
      <c r="F27" s="559">
        <f>SUMIF(100:100,E28,101:101)-SUMIF(100:100,C28,101:101)+100</f>
        <v>103</v>
      </c>
      <c r="G27" s="562" t="s">
        <v>3253</v>
      </c>
      <c r="H27" s="559">
        <f>SUMIF(100:100,G28,101:101)-SUMIF(100:100,C28,101:101)+100</f>
        <v>103</v>
      </c>
      <c r="I27" s="562" t="s">
        <v>3253</v>
      </c>
      <c r="J27" s="559">
        <f>SUMIF(100:100,I28,101:101)-SUMIF(100:100,C28,101:101)+100</f>
        <v>103</v>
      </c>
      <c r="K27" s="535">
        <v>3</v>
      </c>
      <c r="L27" s="2143"/>
      <c r="M27" s="2133"/>
      <c r="N27" s="2133"/>
      <c r="O27" s="2142"/>
      <c r="P27" s="3676"/>
      <c r="Q27" s="1573" t="str">
        <f t="shared" si="8"/>
        <v>自然及人文环境状况</v>
      </c>
      <c r="R27" s="1574" t="s">
        <v>8</v>
      </c>
      <c r="S27" s="1575">
        <f>F27</f>
        <v>103</v>
      </c>
      <c r="T27" s="1574" t="s">
        <v>8</v>
      </c>
      <c r="U27" s="1575">
        <f>H27</f>
        <v>103</v>
      </c>
      <c r="V27" s="1574" t="s">
        <v>8</v>
      </c>
      <c r="W27" s="1575">
        <f>J27</f>
        <v>103</v>
      </c>
      <c r="X27" s="1568"/>
      <c r="Y27" s="3676"/>
      <c r="Z27" s="1576" t="str">
        <f>Q27</f>
        <v>自然及人文环境状况</v>
      </c>
      <c r="AA27" s="1577">
        <f t="shared" si="3"/>
        <v>0.970873786407767</v>
      </c>
      <c r="AB27" s="1577">
        <f t="shared" si="4"/>
        <v>0.970873786407767</v>
      </c>
      <c r="AC27" s="1577">
        <f t="shared" si="5"/>
        <v>0.970873786407767</v>
      </c>
    </row>
    <row r="28" spans="1:29" ht="20.25">
      <c r="A28" s="515"/>
      <c r="B28" s="566"/>
      <c r="C28" s="554" t="s">
        <v>3248</v>
      </c>
      <c r="D28" s="557"/>
      <c r="E28" s="576" t="s">
        <v>3246</v>
      </c>
      <c r="F28" s="555"/>
      <c r="G28" s="576" t="s">
        <v>3246</v>
      </c>
      <c r="H28" s="555"/>
      <c r="I28" s="576" t="s">
        <v>3246</v>
      </c>
      <c r="J28" s="555"/>
      <c r="K28" s="531"/>
      <c r="L28" s="2143"/>
      <c r="M28" s="2133"/>
      <c r="N28" s="2133"/>
      <c r="O28" s="2142"/>
      <c r="P28" s="3676"/>
      <c r="Q28" s="1573"/>
      <c r="R28" s="1574"/>
      <c r="S28" s="1575"/>
      <c r="T28" s="1574"/>
      <c r="U28" s="1575"/>
      <c r="V28" s="1574"/>
      <c r="W28" s="1575"/>
      <c r="X28" s="1568"/>
      <c r="Y28" s="3676"/>
      <c r="Z28" s="1576"/>
      <c r="AA28" s="1577">
        <v>1</v>
      </c>
      <c r="AB28" s="1577">
        <v>1</v>
      </c>
      <c r="AC28" s="1577">
        <v>1</v>
      </c>
    </row>
    <row r="29" spans="1:29" s="1220" customFormat="1" ht="232.5">
      <c r="A29" s="577"/>
      <c r="B29" s="2614" t="s">
        <v>2555</v>
      </c>
      <c r="C29" s="573" t="str">
        <f>估价对象房地状况!C21</f>
        <v>无医院、1公里内八千乡刘店完全小学；1.9公里邮政三农服务站(湾左村卫生所西南)</v>
      </c>
      <c r="D29" s="563">
        <v>100</v>
      </c>
      <c r="E29" s="564" t="s">
        <v>3258</v>
      </c>
      <c r="F29" s="559">
        <f>SUMIF(102:102,E30,103:103)-SUMIF(102:102,C30,103:103)+100</f>
        <v>103</v>
      </c>
      <c r="G29" s="562" t="s">
        <v>3257</v>
      </c>
      <c r="H29" s="559">
        <f>SUMIF(102:102,G30,103:103)-SUMIF(102:102,C30,103:103)+100</f>
        <v>103</v>
      </c>
      <c r="I29" s="562" t="s">
        <v>3257</v>
      </c>
      <c r="J29" s="559">
        <f>SUMIF(102:102,I30,103:103)-SUMIF(102:102,C30,103:103)+100</f>
        <v>103</v>
      </c>
      <c r="K29" s="535">
        <v>3</v>
      </c>
      <c r="L29" s="2136"/>
      <c r="M29" s="2133"/>
      <c r="N29" s="2133"/>
      <c r="O29" s="2138"/>
      <c r="P29" s="3676"/>
      <c r="Q29" s="1151" t="str">
        <f t="shared" si="8"/>
        <v>公共配套设施</v>
      </c>
      <c r="R29" s="1569" t="s">
        <v>8</v>
      </c>
      <c r="S29" s="1570">
        <f>F29</f>
        <v>103</v>
      </c>
      <c r="T29" s="1569" t="s">
        <v>8</v>
      </c>
      <c r="U29" s="1570">
        <f>H29</f>
        <v>103</v>
      </c>
      <c r="V29" s="1569" t="s">
        <v>8</v>
      </c>
      <c r="W29" s="1570">
        <f>J29</f>
        <v>103</v>
      </c>
      <c r="X29" s="1571"/>
      <c r="Y29" s="3676"/>
      <c r="Z29" s="1150" t="str">
        <f>Q29</f>
        <v>公共配套设施</v>
      </c>
      <c r="AA29" s="1577">
        <f>D29/F29</f>
        <v>0.970873786407767</v>
      </c>
      <c r="AB29" s="1577">
        <f>D29/H29</f>
        <v>0.970873786407767</v>
      </c>
      <c r="AC29" s="1577">
        <f>D29/J29</f>
        <v>0.970873786407767</v>
      </c>
    </row>
    <row r="30" spans="1:29" s="1220" customFormat="1" ht="20.25">
      <c r="A30" s="577"/>
      <c r="B30" s="566"/>
      <c r="C30" s="579" t="s">
        <v>3248</v>
      </c>
      <c r="D30" s="557"/>
      <c r="E30" s="576" t="s">
        <v>3246</v>
      </c>
      <c r="F30" s="555"/>
      <c r="G30" s="576" t="s">
        <v>3246</v>
      </c>
      <c r="H30" s="555"/>
      <c r="I30" s="576" t="s">
        <v>3246</v>
      </c>
      <c r="J30" s="555"/>
      <c r="K30" s="531"/>
      <c r="L30" s="2136"/>
      <c r="M30" s="2133"/>
      <c r="N30" s="2133"/>
      <c r="O30" s="2138"/>
      <c r="P30" s="3676"/>
      <c r="Q30" s="1151"/>
      <c r="R30" s="1569"/>
      <c r="S30" s="1570"/>
      <c r="T30" s="1569"/>
      <c r="U30" s="1570"/>
      <c r="V30" s="1569"/>
      <c r="W30" s="1570"/>
      <c r="X30" s="1571"/>
      <c r="Y30" s="3676"/>
      <c r="Z30" s="1150"/>
      <c r="AA30" s="1577">
        <v>1</v>
      </c>
      <c r="AB30" s="1577">
        <v>1</v>
      </c>
      <c r="AC30" s="1577">
        <v>1</v>
      </c>
    </row>
    <row r="31" spans="1:29" s="1220" customFormat="1" ht="28.5">
      <c r="A31" s="577"/>
      <c r="B31" s="2614" t="s">
        <v>2556</v>
      </c>
      <c r="C31" s="573" t="str">
        <f>估价对象房地状况!C22</f>
        <v>估价对象所在区域基础设施水平</v>
      </c>
      <c r="D31" s="563">
        <v>100</v>
      </c>
      <c r="E31" s="564"/>
      <c r="F31" s="3485">
        <f>SUMIF(104:104,E32,105:105)-SUMIF(104:104,C32,105:105)+100</f>
        <v>100</v>
      </c>
      <c r="G31" s="562"/>
      <c r="H31" s="3485">
        <f>SUMIF(104:104,G32,105:105)-SUMIF(104:104,C32,105:105)+100</f>
        <v>100</v>
      </c>
      <c r="I31" s="564"/>
      <c r="J31" s="3485">
        <f>SUMIF(104:104,I32,105:105)-SUMIF(104:104,C32,105:105)+100</f>
        <v>100</v>
      </c>
      <c r="K31" s="535">
        <v>2</v>
      </c>
      <c r="L31" s="2136"/>
      <c r="M31" s="2133"/>
      <c r="N31" s="2133"/>
      <c r="O31" s="2138"/>
      <c r="P31" s="3676"/>
      <c r="Q31" s="2601" t="str">
        <f t="shared" ref="Q31" si="9">B31</f>
        <v>基础设施水平</v>
      </c>
      <c r="R31" s="1569" t="s">
        <v>8</v>
      </c>
      <c r="S31" s="1570">
        <f>F31</f>
        <v>100</v>
      </c>
      <c r="T31" s="1569" t="s">
        <v>8</v>
      </c>
      <c r="U31" s="1570">
        <f>H31</f>
        <v>100</v>
      </c>
      <c r="V31" s="1569" t="s">
        <v>8</v>
      </c>
      <c r="W31" s="1570">
        <f>J31</f>
        <v>100</v>
      </c>
      <c r="X31" s="1571"/>
      <c r="Y31" s="3676"/>
      <c r="Z31" s="2598" t="str">
        <f>Q31</f>
        <v>基础设施水平</v>
      </c>
      <c r="AA31" s="1577">
        <f>D31/F31</f>
        <v>1</v>
      </c>
      <c r="AB31" s="1577">
        <f>D31/H31</f>
        <v>1</v>
      </c>
      <c r="AC31" s="1577">
        <f>D31/J31</f>
        <v>1</v>
      </c>
    </row>
    <row r="32" spans="1:29" s="1220" customFormat="1" ht="20.25">
      <c r="A32" s="577"/>
      <c r="B32" s="566"/>
      <c r="C32" s="579"/>
      <c r="D32" s="557"/>
      <c r="E32" s="2615"/>
      <c r="F32" s="555"/>
      <c r="G32" s="579"/>
      <c r="H32" s="555"/>
      <c r="I32" s="579"/>
      <c r="J32" s="555"/>
      <c r="K32" s="531"/>
      <c r="L32" s="2136"/>
      <c r="M32" s="2133"/>
      <c r="N32" s="2133"/>
      <c r="O32" s="2138"/>
      <c r="P32" s="3676"/>
      <c r="Q32" s="2601"/>
      <c r="R32" s="1569"/>
      <c r="S32" s="1570"/>
      <c r="T32" s="1569"/>
      <c r="U32" s="1570"/>
      <c r="V32" s="1569"/>
      <c r="W32" s="1570"/>
      <c r="X32" s="1571"/>
      <c r="Y32" s="3676"/>
      <c r="Z32" s="2598"/>
      <c r="AA32" s="1577">
        <v>1</v>
      </c>
      <c r="AB32" s="1577">
        <v>1</v>
      </c>
      <c r="AC32" s="1577">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7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76"/>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676"/>
      <c r="Q34" s="1573" t="str">
        <f t="shared" si="8"/>
        <v>毗邻道路的类型与等级</v>
      </c>
      <c r="R34" s="1574" t="s">
        <v>8</v>
      </c>
      <c r="S34" s="1575">
        <f t="shared" si="10"/>
        <v>100</v>
      </c>
      <c r="T34" s="1574" t="s">
        <v>8</v>
      </c>
      <c r="U34" s="1575">
        <f t="shared" si="11"/>
        <v>100</v>
      </c>
      <c r="V34" s="1574" t="s">
        <v>8</v>
      </c>
      <c r="W34" s="1575">
        <f t="shared" si="12"/>
        <v>100</v>
      </c>
      <c r="X34" s="1568"/>
      <c r="Y34" s="3676"/>
      <c r="Z34" s="1576" t="str">
        <f t="shared" si="13"/>
        <v>毗邻道路的类型与等级</v>
      </c>
      <c r="AA34" s="1577">
        <f t="shared" si="3"/>
        <v>1</v>
      </c>
      <c r="AB34" s="1577">
        <f t="shared" si="4"/>
        <v>1</v>
      </c>
      <c r="AC34" s="1577">
        <f t="shared" si="5"/>
        <v>1</v>
      </c>
    </row>
    <row r="35" spans="1:29" ht="21" thickBot="1">
      <c r="A35" s="532"/>
      <c r="B35" s="566"/>
      <c r="C35" s="554" t="s">
        <v>3269</v>
      </c>
      <c r="D35" s="557"/>
      <c r="E35" s="554" t="s">
        <v>3269</v>
      </c>
      <c r="F35" s="555"/>
      <c r="G35" s="554" t="s">
        <v>3269</v>
      </c>
      <c r="H35" s="555"/>
      <c r="I35" s="554" t="s">
        <v>3269</v>
      </c>
      <c r="J35" s="555"/>
      <c r="K35" s="581"/>
      <c r="L35" s="2143"/>
      <c r="M35" s="2133"/>
      <c r="N35" s="2133"/>
      <c r="O35" s="2142"/>
      <c r="P35" s="3676"/>
      <c r="Q35" s="1573"/>
      <c r="R35" s="1574"/>
      <c r="S35" s="1575"/>
      <c r="T35" s="1574"/>
      <c r="U35" s="1575"/>
      <c r="V35" s="1574"/>
      <c r="W35" s="1575"/>
      <c r="X35" s="1568"/>
      <c r="Y35" s="3676"/>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76"/>
      <c r="Q36" s="1573" t="str">
        <f t="shared" si="8"/>
        <v>土地级别</v>
      </c>
      <c r="R36" s="1574" t="s">
        <v>8</v>
      </c>
      <c r="S36" s="1575">
        <f t="shared" si="10"/>
        <v>100</v>
      </c>
      <c r="T36" s="1574" t="s">
        <v>8</v>
      </c>
      <c r="U36" s="1575">
        <f t="shared" si="11"/>
        <v>100</v>
      </c>
      <c r="V36" s="1574" t="s">
        <v>8</v>
      </c>
      <c r="W36" s="1575">
        <f t="shared" si="12"/>
        <v>100</v>
      </c>
      <c r="X36" s="1568"/>
      <c r="Y36" s="367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76"/>
      <c r="Q37" s="1573">
        <f t="shared" si="8"/>
        <v>111</v>
      </c>
      <c r="R37" s="1574" t="s">
        <v>8</v>
      </c>
      <c r="S37" s="1575">
        <f t="shared" si="10"/>
        <v>100</v>
      </c>
      <c r="T37" s="1574" t="s">
        <v>8</v>
      </c>
      <c r="U37" s="1575">
        <f t="shared" si="11"/>
        <v>100</v>
      </c>
      <c r="V37" s="1574" t="s">
        <v>8</v>
      </c>
      <c r="W37" s="1575">
        <f t="shared" si="12"/>
        <v>100</v>
      </c>
      <c r="X37" s="1568"/>
      <c r="Y37" s="367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77" t="s">
        <v>551</v>
      </c>
      <c r="Q38" s="1573">
        <f t="shared" si="8"/>
        <v>111</v>
      </c>
      <c r="R38" s="1574" t="s">
        <v>8</v>
      </c>
      <c r="S38" s="1575">
        <f t="shared" si="10"/>
        <v>100</v>
      </c>
      <c r="T38" s="1574" t="s">
        <v>8</v>
      </c>
      <c r="U38" s="1575">
        <f t="shared" si="11"/>
        <v>100</v>
      </c>
      <c r="V38" s="1574" t="s">
        <v>8</v>
      </c>
      <c r="W38" s="1575">
        <f t="shared" si="12"/>
        <v>100</v>
      </c>
      <c r="X38" s="1568"/>
      <c r="Y38" s="3678"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78"/>
      <c r="Q39" s="1573">
        <f t="shared" si="8"/>
        <v>111</v>
      </c>
      <c r="R39" s="1578" t="s">
        <v>8</v>
      </c>
      <c r="S39" s="1579">
        <f t="shared" si="10"/>
        <v>100</v>
      </c>
      <c r="T39" s="1578" t="s">
        <v>8</v>
      </c>
      <c r="U39" s="1579">
        <f t="shared" si="11"/>
        <v>100</v>
      </c>
      <c r="V39" s="1578" t="s">
        <v>8</v>
      </c>
      <c r="W39" s="1579">
        <f t="shared" si="12"/>
        <v>100</v>
      </c>
      <c r="X39" s="1580"/>
      <c r="Y39" s="3678"/>
      <c r="Z39" s="1581">
        <f t="shared" si="13"/>
        <v>111</v>
      </c>
      <c r="AA39" s="1577">
        <f t="shared" si="3"/>
        <v>1</v>
      </c>
      <c r="AB39" s="1577">
        <f t="shared" si="4"/>
        <v>1</v>
      </c>
      <c r="AC39" s="1577">
        <f t="shared" si="5"/>
        <v>1</v>
      </c>
    </row>
    <row r="40" spans="1:29" ht="20.25">
      <c r="A40" s="2931" t="s">
        <v>2762</v>
      </c>
      <c r="B40" s="595" t="s">
        <v>553</v>
      </c>
      <c r="C40" s="596">
        <f>'数据-基础表'!A3</f>
        <v>35564.06</v>
      </c>
      <c r="D40" s="597">
        <v>100</v>
      </c>
      <c r="E40" s="596">
        <f>土地案例!H2</f>
        <v>53766.06</v>
      </c>
      <c r="F40" s="597">
        <f>LOOKUP(E40,119:119,120:120)-LOOKUP(C40,119:119,120:120)+100</f>
        <v>101</v>
      </c>
      <c r="G40" s="596">
        <f>土地案例!H3</f>
        <v>36790.15</v>
      </c>
      <c r="H40" s="597">
        <f>LOOKUP(G40,119:119,120:120)-LOOKUP(C40,119:119,120:120)+100</f>
        <v>100</v>
      </c>
      <c r="I40" s="598">
        <f>土地案例!H4</f>
        <v>40927.67</v>
      </c>
      <c r="J40" s="597">
        <f>LOOKUP(I40,119:119,120:120)-LOOKUP(C40,119:119,120:120)+100</f>
        <v>100.5</v>
      </c>
      <c r="K40" s="581"/>
      <c r="L40" s="2143"/>
      <c r="M40" s="2133"/>
      <c r="N40" s="2133"/>
      <c r="O40" s="2142"/>
      <c r="P40" s="3678"/>
      <c r="Q40" s="1573" t="str">
        <f>B40</f>
        <v>宗地面积</v>
      </c>
      <c r="R40" s="1574" t="s">
        <v>8</v>
      </c>
      <c r="S40" s="1575">
        <f t="shared" si="10"/>
        <v>101</v>
      </c>
      <c r="T40" s="1574" t="s">
        <v>8</v>
      </c>
      <c r="U40" s="1575">
        <f t="shared" si="11"/>
        <v>100</v>
      </c>
      <c r="V40" s="1574" t="s">
        <v>8</v>
      </c>
      <c r="W40" s="1575">
        <f t="shared" si="12"/>
        <v>100.5</v>
      </c>
      <c r="X40" s="1568"/>
      <c r="Y40" s="3678"/>
      <c r="Z40" s="1576" t="str">
        <f t="shared" si="13"/>
        <v>宗地面积</v>
      </c>
      <c r="AA40" s="1577">
        <f t="shared" si="3"/>
        <v>0.99009900990099009</v>
      </c>
      <c r="AB40" s="1577">
        <f t="shared" si="4"/>
        <v>1</v>
      </c>
      <c r="AC40" s="1577">
        <f t="shared" si="5"/>
        <v>0.99502487562189057</v>
      </c>
    </row>
    <row r="41" spans="1:29" ht="20.25">
      <c r="A41" s="594"/>
      <c r="B41" s="527" t="s">
        <v>554</v>
      </c>
      <c r="C41" s="599" t="s">
        <v>3261</v>
      </c>
      <c r="D41" s="540">
        <v>100</v>
      </c>
      <c r="E41" s="599" t="s">
        <v>3261</v>
      </c>
      <c r="F41" s="540">
        <f>SUMIF(121:121,E41,122:122)-SUMIF(121:121,C41,122:122)+100</f>
        <v>100</v>
      </c>
      <c r="G41" s="599" t="s">
        <v>3261</v>
      </c>
      <c r="H41" s="540">
        <f>SUMIF(121:121,G41,122:122)-SUMIF(121:121,C41,122:122)+100</f>
        <v>100</v>
      </c>
      <c r="I41" s="599" t="s">
        <v>3261</v>
      </c>
      <c r="J41" s="540">
        <f>SUMIF(121:121,I41,122:122)-SUMIF(121:121,C41,122:122)+100</f>
        <v>100</v>
      </c>
      <c r="K41" s="584">
        <v>2</v>
      </c>
      <c r="L41" s="2143"/>
      <c r="M41" s="2133"/>
      <c r="N41" s="2133"/>
      <c r="O41" s="2142"/>
      <c r="P41" s="3678"/>
      <c r="Q41" s="1573" t="str">
        <f t="shared" ref="Q41:Q47" si="14">B41</f>
        <v>宗地形状</v>
      </c>
      <c r="R41" s="1574" t="s">
        <v>8</v>
      </c>
      <c r="S41" s="1575">
        <f t="shared" si="10"/>
        <v>100</v>
      </c>
      <c r="T41" s="1574" t="s">
        <v>8</v>
      </c>
      <c r="U41" s="1575">
        <f t="shared" si="11"/>
        <v>100</v>
      </c>
      <c r="V41" s="1574" t="s">
        <v>8</v>
      </c>
      <c r="W41" s="1575">
        <f t="shared" si="12"/>
        <v>100</v>
      </c>
      <c r="X41" s="1568"/>
      <c r="Y41" s="3678"/>
      <c r="Z41" s="1576" t="str">
        <f t="shared" si="13"/>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78"/>
      <c r="Q42" s="1573" t="str">
        <f t="shared" si="14"/>
        <v>临街宽度及深度</v>
      </c>
      <c r="R42" s="1574" t="s">
        <v>8</v>
      </c>
      <c r="S42" s="1575">
        <f t="shared" si="10"/>
        <v>100</v>
      </c>
      <c r="T42" s="1574" t="s">
        <v>8</v>
      </c>
      <c r="U42" s="1575">
        <f t="shared" si="11"/>
        <v>100</v>
      </c>
      <c r="V42" s="1574" t="s">
        <v>8</v>
      </c>
      <c r="W42" s="1575">
        <f t="shared" si="12"/>
        <v>100</v>
      </c>
      <c r="X42" s="1568"/>
      <c r="Y42" s="3678"/>
      <c r="Z42" s="1576" t="str">
        <f t="shared" si="13"/>
        <v>临街宽度及深度</v>
      </c>
      <c r="AA42" s="1577">
        <f t="shared" si="3"/>
        <v>1</v>
      </c>
      <c r="AB42" s="1577">
        <f t="shared" si="4"/>
        <v>1</v>
      </c>
      <c r="AC42" s="1577">
        <f t="shared" si="5"/>
        <v>1</v>
      </c>
    </row>
    <row r="43" spans="1:29" s="1220" customFormat="1" ht="20.25">
      <c r="A43" s="600"/>
      <c r="B43" s="1896" t="s">
        <v>2429</v>
      </c>
      <c r="C43" s="601"/>
      <c r="D43" s="255">
        <v>100</v>
      </c>
      <c r="E43" s="601"/>
      <c r="F43" s="3484">
        <f>SUMIF(125:125,E43,126:126)-SUMIF(125:125,C43,126:126)+100</f>
        <v>100</v>
      </c>
      <c r="G43" s="601"/>
      <c r="H43" s="3484">
        <f>SUMIF(125:125,G43,126:126)-SUMIF(125:125,C43,126:126)+100</f>
        <v>100</v>
      </c>
      <c r="I43" s="601"/>
      <c r="J43" s="3484">
        <f>SUMIF(125:125,I43,126:126)-SUMIF(125:125,C43,126:126)+100</f>
        <v>100</v>
      </c>
      <c r="K43" s="584">
        <v>2</v>
      </c>
      <c r="L43" s="2136"/>
      <c r="M43" s="2133"/>
      <c r="N43" s="2133"/>
      <c r="O43" s="2138"/>
      <c r="P43" s="3678"/>
      <c r="Q43" s="1573" t="str">
        <f t="shared" si="14"/>
        <v>宗地开发程度</v>
      </c>
      <c r="R43" s="1569" t="s">
        <v>8</v>
      </c>
      <c r="S43" s="1570">
        <f t="shared" si="10"/>
        <v>100</v>
      </c>
      <c r="T43" s="1569" t="s">
        <v>8</v>
      </c>
      <c r="U43" s="1570">
        <f t="shared" si="11"/>
        <v>100</v>
      </c>
      <c r="V43" s="1569" t="s">
        <v>8</v>
      </c>
      <c r="W43" s="1570">
        <f t="shared" si="12"/>
        <v>100</v>
      </c>
      <c r="X43" s="1571"/>
      <c r="Y43" s="3678"/>
      <c r="Z43" s="1150" t="str">
        <f t="shared" si="13"/>
        <v>宗地开发程度</v>
      </c>
      <c r="AA43" s="1572">
        <f t="shared" si="3"/>
        <v>1</v>
      </c>
      <c r="AB43" s="1572">
        <f t="shared" si="4"/>
        <v>1</v>
      </c>
      <c r="AC43" s="1572">
        <f t="shared" si="5"/>
        <v>1</v>
      </c>
    </row>
    <row r="44" spans="1:29" ht="21" thickBot="1">
      <c r="A44" s="594"/>
      <c r="B44" s="527" t="s">
        <v>556</v>
      </c>
      <c r="C44" s="599" t="s">
        <v>3246</v>
      </c>
      <c r="D44" s="540">
        <v>100</v>
      </c>
      <c r="E44" s="599" t="s">
        <v>3246</v>
      </c>
      <c r="F44" s="540">
        <f>SUMIF(127:127,E44,128:128)-SUMIF(127:127,C44,128:128)+100</f>
        <v>100</v>
      </c>
      <c r="G44" s="599" t="s">
        <v>3246</v>
      </c>
      <c r="H44" s="540">
        <f>SUMIF(127:127,G44,128:128)-SUMIF(127:127,C44,128:128)+100</f>
        <v>100</v>
      </c>
      <c r="I44" s="599" t="s">
        <v>3246</v>
      </c>
      <c r="J44" s="540">
        <f>SUMIF(127:127,I44,128:128)-SUMIF(127:127,C44,128:128)+100</f>
        <v>100</v>
      </c>
      <c r="K44" s="584">
        <v>2</v>
      </c>
      <c r="L44" s="2143"/>
      <c r="M44" s="2133"/>
      <c r="N44" s="2133"/>
      <c r="O44" s="2142"/>
      <c r="P44" s="3678" t="s">
        <v>551</v>
      </c>
      <c r="Q44" s="1573" t="str">
        <f t="shared" si="14"/>
        <v>工程地质条件</v>
      </c>
      <c r="R44" s="1574" t="s">
        <v>8</v>
      </c>
      <c r="S44" s="1575">
        <f t="shared" si="10"/>
        <v>100</v>
      </c>
      <c r="T44" s="1574" t="s">
        <v>8</v>
      </c>
      <c r="U44" s="1575">
        <f t="shared" si="11"/>
        <v>100</v>
      </c>
      <c r="V44" s="1574" t="s">
        <v>8</v>
      </c>
      <c r="W44" s="1575">
        <f t="shared" si="12"/>
        <v>100</v>
      </c>
      <c r="X44" s="1568"/>
      <c r="Y44" s="3678"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78"/>
      <c r="Q45" s="1573">
        <f t="shared" si="14"/>
        <v>111</v>
      </c>
      <c r="R45" s="1574" t="s">
        <v>8</v>
      </c>
      <c r="S45" s="1575">
        <f t="shared" si="10"/>
        <v>100</v>
      </c>
      <c r="T45" s="1574" t="s">
        <v>8</v>
      </c>
      <c r="U45" s="1575">
        <f t="shared" si="11"/>
        <v>100</v>
      </c>
      <c r="V45" s="1574" t="s">
        <v>8</v>
      </c>
      <c r="W45" s="1575">
        <f t="shared" si="12"/>
        <v>100</v>
      </c>
      <c r="X45" s="1568"/>
      <c r="Y45" s="367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78"/>
      <c r="Q46" s="1573">
        <f t="shared" si="14"/>
        <v>111</v>
      </c>
      <c r="R46" s="1574" t="s">
        <v>8</v>
      </c>
      <c r="S46" s="1575">
        <f t="shared" si="10"/>
        <v>100</v>
      </c>
      <c r="T46" s="1574" t="s">
        <v>8</v>
      </c>
      <c r="U46" s="1575">
        <f t="shared" si="11"/>
        <v>100</v>
      </c>
      <c r="V46" s="1574" t="s">
        <v>8</v>
      </c>
      <c r="W46" s="1575">
        <f t="shared" si="12"/>
        <v>100</v>
      </c>
      <c r="X46" s="1568"/>
      <c r="Y46" s="367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78"/>
      <c r="Q47" s="1573">
        <f t="shared" si="14"/>
        <v>111</v>
      </c>
      <c r="R47" s="1578" t="s">
        <v>8</v>
      </c>
      <c r="S47" s="1579">
        <f t="shared" si="10"/>
        <v>100</v>
      </c>
      <c r="T47" s="1578" t="s">
        <v>8</v>
      </c>
      <c r="U47" s="1579">
        <f t="shared" si="11"/>
        <v>100</v>
      </c>
      <c r="V47" s="1578" t="s">
        <v>8</v>
      </c>
      <c r="W47" s="1579">
        <f t="shared" si="12"/>
        <v>100</v>
      </c>
      <c r="X47" s="1580"/>
      <c r="Y47" s="3678"/>
      <c r="Z47" s="1581">
        <f t="shared" si="13"/>
        <v>111</v>
      </c>
      <c r="AA47" s="1577">
        <f t="shared" si="3"/>
        <v>1</v>
      </c>
      <c r="AB47" s="1577">
        <f t="shared" si="4"/>
        <v>1</v>
      </c>
      <c r="AC47" s="1577">
        <f t="shared" si="5"/>
        <v>1</v>
      </c>
    </row>
    <row r="48" spans="1:29" ht="20.25">
      <c r="A48" s="607" t="s">
        <v>557</v>
      </c>
      <c r="B48" s="608" t="s">
        <v>3222</v>
      </c>
      <c r="C48" s="609" t="s">
        <v>1</v>
      </c>
      <c r="D48" s="610"/>
      <c r="E48" s="611">
        <f>土地案例!Q2</f>
        <v>2905.92</v>
      </c>
      <c r="F48" s="612"/>
      <c r="G48" s="613">
        <f>土地案例!Q3</f>
        <v>2718.92</v>
      </c>
      <c r="H48" s="614"/>
      <c r="I48" s="611">
        <f>土地案例!Q4</f>
        <v>2724.19</v>
      </c>
      <c r="J48" s="614"/>
      <c r="K48" s="1340"/>
      <c r="L48" s="2145"/>
      <c r="M48" s="2133"/>
      <c r="N48" s="2133"/>
      <c r="O48" s="2146"/>
      <c r="P48" s="3673" t="str">
        <f>A48</f>
        <v>成交单价</v>
      </c>
      <c r="Q48" s="3673"/>
      <c r="R48" s="3687">
        <f>E48</f>
        <v>2905.92</v>
      </c>
      <c r="S48" s="3687"/>
      <c r="T48" s="3687">
        <f>G48</f>
        <v>2718.92</v>
      </c>
      <c r="U48" s="3687"/>
      <c r="V48" s="3687">
        <f>I48</f>
        <v>2724.19</v>
      </c>
      <c r="W48" s="3687"/>
      <c r="X48" s="1560"/>
      <c r="Y48" s="1582"/>
      <c r="Z48" s="1560"/>
      <c r="AA48" s="1560"/>
      <c r="AB48" s="1560"/>
      <c r="AC48" s="1560"/>
    </row>
    <row r="49" spans="1:29" ht="21" thickBot="1">
      <c r="A49" s="615" t="s">
        <v>2700</v>
      </c>
      <c r="B49" s="616"/>
      <c r="C49" s="617">
        <f>R50</f>
        <v>2702</v>
      </c>
      <c r="D49" s="618"/>
      <c r="E49" s="617">
        <f>R49</f>
        <v>2869</v>
      </c>
      <c r="F49" s="619"/>
      <c r="G49" s="620">
        <f>T49</f>
        <v>2622</v>
      </c>
      <c r="H49" s="618"/>
      <c r="I49" s="617">
        <f>V49</f>
        <v>2614</v>
      </c>
      <c r="J49" s="618"/>
      <c r="K49" s="1341"/>
      <c r="L49" s="2145"/>
      <c r="M49" s="2133"/>
      <c r="N49" s="2133"/>
      <c r="O49" s="2146"/>
      <c r="P49" s="3673" t="str">
        <f>A49</f>
        <v>比较价格（元/平方米）</v>
      </c>
      <c r="Q49" s="3673"/>
      <c r="R49" s="3697">
        <f>ROUND(PRODUCT(R48,AA9:AA47),0)</f>
        <v>2869</v>
      </c>
      <c r="S49" s="3697"/>
      <c r="T49" s="3697">
        <f>ROUND(PRODUCT(T48,AB9:AB47),0)</f>
        <v>2622</v>
      </c>
      <c r="U49" s="3697"/>
      <c r="V49" s="3697">
        <f>ROUND(PRODUCT(V48,AC9:AC47),0)</f>
        <v>2614</v>
      </c>
      <c r="W49" s="3697"/>
      <c r="X49" s="1560"/>
      <c r="Y49" s="1560"/>
      <c r="Z49" s="1560"/>
      <c r="AA49" s="1560"/>
      <c r="AB49" s="1560"/>
      <c r="AC49" s="1560"/>
    </row>
    <row r="50" spans="1:29" ht="21" thickBot="1">
      <c r="A50" s="621" t="s">
        <v>2942</v>
      </c>
      <c r="B50" s="622"/>
      <c r="C50" s="623">
        <f>R50</f>
        <v>2702</v>
      </c>
      <c r="D50" s="623"/>
      <c r="E50" s="623"/>
      <c r="F50" s="623"/>
      <c r="G50" s="623"/>
      <c r="H50" s="623"/>
      <c r="I50" s="623"/>
      <c r="J50" s="623"/>
      <c r="K50" s="1342"/>
      <c r="L50" s="2145"/>
      <c r="M50" s="2133"/>
      <c r="N50" s="2133"/>
      <c r="O50" s="2146"/>
      <c r="P50" s="3694" t="str">
        <f>A50</f>
        <v>估价对象XX用房的比较价格（楼面单价，元/平方米）</v>
      </c>
      <c r="Q50" s="3695"/>
      <c r="R50" s="3696">
        <f>ROUND(AVERAGE(R49:V49),0)</f>
        <v>2702</v>
      </c>
      <c r="S50" s="3696"/>
      <c r="T50" s="3696"/>
      <c r="U50" s="3696"/>
      <c r="V50" s="3696"/>
      <c r="W50" s="369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1.2868595329383004E-2</v>
      </c>
      <c r="F53" s="627" t="str">
        <f>IF(OR(E53&gt;=0.3,E53&lt;=-0.3),"超过30%","")</f>
        <v/>
      </c>
      <c r="G53" s="626">
        <f>IF(G48&lt;G49,G49/G48-1,G48/G49-1)</f>
        <v>3.6964149504195243E-2</v>
      </c>
      <c r="H53" s="627" t="str">
        <f>IF(OR(G53&gt;=0.3,G53&lt;=-0.3),"超过30%","")</f>
        <v/>
      </c>
      <c r="I53" s="626">
        <f>IF(I48&lt;I49,I49/I48-1,I48/I49-1)</f>
        <v>4.2153787299158418E-2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9.4202898550724612E-2</v>
      </c>
      <c r="F54" s="627" t="str">
        <f>IF(OR(E54&gt;=0.2,E54&lt;=-0.2),"超过20%","")</f>
        <v/>
      </c>
      <c r="G54" s="626">
        <f>IF(G49&lt;I49,I49/G49-1,G49/I49-1)</f>
        <v>3.0604437643457771E-3</v>
      </c>
      <c r="H54" s="627" t="str">
        <f>IF(OR(G54&gt;=0.2,G54&lt;=-0.2),"超过20%","")</f>
        <v/>
      </c>
      <c r="I54" s="626">
        <f>IF(I49&lt;E49,E49/I49-1,I49/E49-1)</f>
        <v>9.7551644988523423E-2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6.8777308637252954E-2</v>
      </c>
      <c r="F55" s="627" t="str">
        <f>IF(OR(E55&gt;=0.3,E55&lt;=-0.3),"超过30%","")</f>
        <v/>
      </c>
      <c r="G55" s="626">
        <f>IF(G48&lt;I48,I48/G48-1,G48/I48-1)</f>
        <v>1.9382696070497918E-3</v>
      </c>
      <c r="H55" s="627" t="str">
        <f>IF(OR(G55&gt;=0.3,G55&lt;=-0.3),"超过30%","")</f>
        <v/>
      </c>
      <c r="I55" s="626">
        <f>IF(I48&lt;E48,E48/I48-1,I48/E48-1)</f>
        <v>6.6709737573370509E-2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2297</v>
      </c>
      <c r="E57" s="631" t="s">
        <v>563</v>
      </c>
      <c r="F57" s="632" t="s">
        <v>564</v>
      </c>
      <c r="G57" s="3657" t="s">
        <v>2285</v>
      </c>
      <c r="H57" s="3658"/>
      <c r="I57" s="1556" t="s">
        <v>1724</v>
      </c>
      <c r="J57" s="1556">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2702</v>
      </c>
      <c r="C58" s="635">
        <v>1</v>
      </c>
      <c r="D58" s="2229">
        <v>1</v>
      </c>
      <c r="E58" s="635">
        <f>'数据-汇总表'!E8+'数据-汇总表'!E9</f>
        <v>53353.239999999991</v>
      </c>
      <c r="F58" s="636">
        <f t="shared" ref="F58:F67" si="15">ROUND(B58*E58/10000,0)</f>
        <v>14416</v>
      </c>
      <c r="G58" s="3659"/>
      <c r="H58" s="366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661" t="s">
        <v>2286</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66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66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66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30557.57</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2286</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83910.81</v>
      </c>
      <c r="F68" s="644">
        <f>IF(B48="楼面地价",SUM(F58:F67),ROUND(C50*E68/10000,0))</f>
        <v>14416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1" t="s">
        <v>2539</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0" t="s">
        <v>2654</v>
      </c>
      <c r="B73" s="479" t="str">
        <f>"北京市平均增长率"&amp;TEXT(SUMIF(基准地价!N21:N25,A73,基准地价!P21:P25),"0.00%")</f>
        <v>北京市平均增长率2.30%</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0" t="s">
        <v>2653</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1" t="s">
        <v>3271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0.5</v>
      </c>
      <c r="E82" s="541">
        <v>1</v>
      </c>
      <c r="F82" s="541">
        <v>1.5</v>
      </c>
      <c r="G82" s="541">
        <v>2</v>
      </c>
      <c r="H82" s="541">
        <v>2.5</v>
      </c>
      <c r="I82" s="541">
        <v>3</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0" t="s">
        <v>2557</v>
      </c>
      <c r="C104" s="2621" t="s">
        <v>2558</v>
      </c>
      <c r="D104" s="2621" t="s">
        <v>2559</v>
      </c>
      <c r="E104" s="2621" t="s">
        <v>2560</v>
      </c>
      <c r="F104" s="2621" t="s">
        <v>2561</v>
      </c>
      <c r="G104" s="2621"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3"/>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79" t="s">
        <v>3265</v>
      </c>
      <c r="D108" s="3479" t="s">
        <v>3266</v>
      </c>
      <c r="E108" s="3479" t="s">
        <v>3267</v>
      </c>
      <c r="F108" s="3479" t="s">
        <v>3268</v>
      </c>
      <c r="G108" s="3479" t="s">
        <v>3270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114" t="str">
        <f t="shared" si="26"/>
        <v>70000(含)-80000</v>
      </c>
      <c r="K118" s="3114" t="str">
        <f t="shared" si="26"/>
        <v>80000(含)-90000</v>
      </c>
      <c r="L118" s="3115" t="str">
        <f t="shared" si="26"/>
        <v>90000(含)-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C119+10000</f>
        <v>10000</v>
      </c>
      <c r="E119" s="730">
        <f t="shared" ref="E119:L119" si="27">D119+10000</f>
        <v>20000</v>
      </c>
      <c r="F119" s="730">
        <f t="shared" si="27"/>
        <v>30000</v>
      </c>
      <c r="G119" s="730">
        <f t="shared" si="27"/>
        <v>40000</v>
      </c>
      <c r="H119" s="730">
        <f t="shared" si="27"/>
        <v>50000</v>
      </c>
      <c r="I119" s="730">
        <f t="shared" si="27"/>
        <v>60000</v>
      </c>
      <c r="J119" s="730">
        <f t="shared" si="27"/>
        <v>70000</v>
      </c>
      <c r="K119" s="730">
        <f t="shared" si="27"/>
        <v>80000</v>
      </c>
      <c r="L119" s="730">
        <f t="shared" si="27"/>
        <v>90000</v>
      </c>
      <c r="M119" s="236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C120+0.5</f>
        <v>100.5</v>
      </c>
      <c r="E120" s="726">
        <f t="shared" ref="E120:L120" si="28">D120+0.5</f>
        <v>101</v>
      </c>
      <c r="F120" s="726">
        <f t="shared" si="28"/>
        <v>101.5</v>
      </c>
      <c r="G120" s="726">
        <f t="shared" si="28"/>
        <v>102</v>
      </c>
      <c r="H120" s="726">
        <f t="shared" si="28"/>
        <v>102.5</v>
      </c>
      <c r="I120" s="726">
        <f t="shared" si="28"/>
        <v>103</v>
      </c>
      <c r="J120" s="726">
        <f t="shared" si="28"/>
        <v>103.5</v>
      </c>
      <c r="K120" s="726">
        <f t="shared" si="28"/>
        <v>104</v>
      </c>
      <c r="L120" s="726">
        <f t="shared" si="28"/>
        <v>104.5</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0" t="s">
        <v>3260</v>
      </c>
      <c r="D121" s="3480" t="s">
        <v>3262</v>
      </c>
      <c r="E121" s="3480" t="s">
        <v>3263</v>
      </c>
      <c r="F121" s="3480" t="s">
        <v>3264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9">C122-$K41</f>
        <v>98</v>
      </c>
      <c r="E122" s="679">
        <f t="shared" si="29"/>
        <v>96</v>
      </c>
      <c r="F122" s="679">
        <f t="shared" si="29"/>
        <v>94</v>
      </c>
      <c r="G122" s="679">
        <f t="shared" si="29"/>
        <v>92</v>
      </c>
      <c r="H122" s="679">
        <f t="shared" si="29"/>
        <v>90</v>
      </c>
      <c r="I122" s="679">
        <f t="shared" si="29"/>
        <v>88</v>
      </c>
      <c r="J122" s="679">
        <f t="shared" si="29"/>
        <v>86</v>
      </c>
      <c r="K122" s="679">
        <f t="shared" si="29"/>
        <v>84</v>
      </c>
      <c r="L122" s="679">
        <f t="shared" si="29"/>
        <v>82</v>
      </c>
      <c r="M122" s="680">
        <f t="shared" si="29"/>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1">D126-$K43</f>
        <v>96</v>
      </c>
      <c r="F126" s="679">
        <f t="shared" si="31"/>
        <v>94</v>
      </c>
      <c r="G126" s="679">
        <f t="shared" si="31"/>
        <v>92</v>
      </c>
      <c r="H126" s="679">
        <f t="shared" si="31"/>
        <v>90</v>
      </c>
      <c r="I126" s="679">
        <f t="shared" si="31"/>
        <v>88</v>
      </c>
      <c r="J126" s="679">
        <f t="shared" si="31"/>
        <v>86</v>
      </c>
      <c r="K126" s="679">
        <f t="shared" si="31"/>
        <v>84</v>
      </c>
      <c r="L126" s="679">
        <f t="shared" si="31"/>
        <v>82</v>
      </c>
      <c r="M126" s="680">
        <f t="shared" si="31"/>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79" t="s">
        <v>3259</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2">C128-$K44</f>
        <v>98</v>
      </c>
      <c r="E128" s="679">
        <f t="shared" si="32"/>
        <v>96</v>
      </c>
      <c r="F128" s="679">
        <f t="shared" si="32"/>
        <v>94</v>
      </c>
      <c r="G128" s="679">
        <f t="shared" si="32"/>
        <v>92</v>
      </c>
      <c r="H128" s="679">
        <f t="shared" si="32"/>
        <v>90</v>
      </c>
      <c r="I128" s="679">
        <f t="shared" si="32"/>
        <v>88</v>
      </c>
      <c r="J128" s="679">
        <f t="shared" si="32"/>
        <v>86</v>
      </c>
      <c r="K128" s="679">
        <f t="shared" si="32"/>
        <v>84</v>
      </c>
      <c r="L128" s="679">
        <f t="shared" si="32"/>
        <v>82</v>
      </c>
      <c r="M128" s="680">
        <f t="shared" si="32"/>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74" sqref="B74"/>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2663</v>
      </c>
      <c r="B1" s="2915" t="s">
        <v>2760</v>
      </c>
    </row>
    <row r="2" spans="1:55" s="2919" customFormat="1" ht="15" thickTop="1">
      <c r="A2" s="2917" t="s">
        <v>2667</v>
      </c>
      <c r="B2" s="2918" t="str">
        <f>'预评函-封皮'!B37</f>
        <v>出让国有建设用地使用权预评估</v>
      </c>
      <c r="AX2" s="2920"/>
      <c r="AZ2" s="2920"/>
      <c r="BA2" s="2921"/>
      <c r="BC2" s="2921"/>
    </row>
    <row r="3" spans="1:55" s="2922" customFormat="1">
      <c r="A3" s="2901" t="s">
        <v>2668</v>
      </c>
      <c r="B3" s="2904">
        <f>'预评函-封皮'!B40</f>
        <v>0</v>
      </c>
    </row>
    <row r="4" spans="1:55" s="2903" customFormat="1">
      <c r="A4" s="2901" t="s">
        <v>2669</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2670</v>
      </c>
      <c r="B5" s="2924" t="str">
        <f>'预评函-封皮'!B49</f>
        <v>康正预评字号</v>
      </c>
    </row>
    <row r="6" spans="1:55" s="2925" customFormat="1" ht="15" thickTop="1">
      <c r="A6" s="2917" t="s">
        <v>2712</v>
      </c>
      <c r="B6" s="2918" t="str">
        <f>'预评函-1'!A4</f>
        <v>受贵公司委托，我公司对出让国有建设用地使用权进行了预评估。</v>
      </c>
      <c r="AM6" s="2926"/>
    </row>
    <row r="7" spans="1:55" s="2900" customFormat="1">
      <c r="A7" s="2901" t="s">
        <v>2664</v>
      </c>
      <c r="B7" s="2902" t="str">
        <f>'预评函-1'!A6</f>
        <v>估价对象为使用的、位于出让国有建设用地使用权。根据《国有土地使用证》[]，估价对象（分摊）出让国有建设用地使用权面积为35564.06平方米。根据《建设工程规划许可证》[]、《出让合同》[]，估价对象规划建筑面积为83910.81平方米。</v>
      </c>
    </row>
    <row r="8" spans="1:55" s="2900" customFormat="1">
      <c r="A8" s="2901" t="s">
        <v>2665</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2715</v>
      </c>
      <c r="B9" s="2902" t="str">
        <f>'预评函-1'!A9</f>
        <v>本次评估为委托估价方了解标的物之市场价格提供参考依据而评估出让国有建设用地使用权市场价格。</v>
      </c>
    </row>
    <row r="10" spans="1:55" s="2900" customFormat="1">
      <c r="A10" s="2901" t="s">
        <v>2666</v>
      </c>
      <c r="B10" s="2902" t="str">
        <f>'预评函-1'!A11</f>
        <v>2018年2月5日（评估专业人员勘察现场之日）</v>
      </c>
    </row>
    <row r="11" spans="1:55" s="2900" customFormat="1">
      <c r="A11" s="2901" t="s">
        <v>2672</v>
      </c>
      <c r="B11" s="2902" t="str">
        <f>'预评函-1'!A14</f>
        <v>根据《国有土地使用证》[]，本次评估估价对象证载（地类）用途为。</v>
      </c>
    </row>
    <row r="12" spans="1:55" s="2900" customFormat="1">
      <c r="A12" s="2901" t="s">
        <v>2673</v>
      </c>
      <c r="B12" s="2902" t="str">
        <f>'预评函-1'!A15</f>
        <v>本次评估设定用途即为证载用途。</v>
      </c>
    </row>
    <row r="13" spans="1:55" s="2900" customFormat="1">
      <c r="A13" s="2901" t="s">
        <v>2674</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2675</v>
      </c>
      <c r="B14" s="2902" t="str">
        <f>'预评函-1'!A18</f>
        <v>。本次评估设定土地开发程度为红线外市政基础设施达“七通”、宗地红线内场地平整。</v>
      </c>
    </row>
    <row r="15" spans="1:55" s="2900" customFormat="1">
      <c r="A15" s="2901" t="s">
        <v>2671</v>
      </c>
      <c r="B15" s="2902" t="str">
        <f>'预评函-1'!A20</f>
        <v>根据《国有土地使用证》[]，估价对象（分摊）出让国有建设用地使用权面积为35564.06平方米。根据《建设工程规划许可证》[]、《出让合同》[]，估价对象规划建筑面积为83910.81平方米。</v>
      </c>
    </row>
    <row r="16" spans="1:55" s="2900" customFormat="1">
      <c r="A16" s="2901" t="s">
        <v>2676</v>
      </c>
      <c r="B16" s="29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车库2068年1月26日。截至估价期日，出让国有建设用地使用权剩余土地使用年限为。</v>
      </c>
    </row>
    <row r="17" spans="1:48" s="2900" customFormat="1">
      <c r="A17" s="2901" t="s">
        <v>2677</v>
      </c>
      <c r="B17" s="2902" t="str">
        <f>'预评函-1'!A23</f>
        <v>本次评估设定估价对象剩余土地使用年限为。</v>
      </c>
    </row>
    <row r="18" spans="1:48" s="2900" customFormat="1">
      <c r="A18" s="2901" t="s">
        <v>2678</v>
      </c>
      <c r="B18" s="2902" t="str">
        <f>'预评函-1'!A25</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19" spans="1:48" s="2900" customFormat="1">
      <c r="A19" s="2901" t="s">
        <v>2679</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2680</v>
      </c>
      <c r="B20" s="2902" t="str">
        <f>'预评函-1'!A27</f>
        <v>——</v>
      </c>
    </row>
    <row r="21" spans="1:48" s="2916" customFormat="1" ht="15" thickBot="1">
      <c r="A21" s="2923" t="s">
        <v>2681</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2682</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2683</v>
      </c>
      <c r="B23" s="2902" t="str">
        <f>'预评函-2'!K2</f>
        <v>估价期日：2018年2月5日</v>
      </c>
    </row>
    <row r="24" spans="1:48">
      <c r="A24" s="2901" t="s">
        <v>2684</v>
      </c>
      <c r="B24" s="2902" t="str">
        <f>'预评函-2'!R2</f>
        <v>估价期日的国有建设用地使用权性质：出让</v>
      </c>
    </row>
    <row r="25" spans="1:48">
      <c r="A25" s="2901" t="s">
        <v>2740</v>
      </c>
      <c r="B25" s="2902" t="str">
        <f>'预评函-2'!A3</f>
        <v>估价期日土地使用者</v>
      </c>
    </row>
    <row r="26" spans="1:48">
      <c r="A26" s="2901" t="s">
        <v>2716</v>
      </c>
      <c r="B26" s="2902" t="str">
        <f>'预评函-2'!A5</f>
        <v>中信开发</v>
      </c>
    </row>
    <row r="27" spans="1:48">
      <c r="A27" s="2901" t="s">
        <v>2741</v>
      </c>
      <c r="B27" s="2902" t="str">
        <f>'预评函-2'!B3</f>
        <v>宗地编号/不动产单元号</v>
      </c>
    </row>
    <row r="28" spans="1:48">
      <c r="A28" s="2901" t="s">
        <v>2717</v>
      </c>
      <c r="B28" s="2902" t="str">
        <f>'预评函-2'!B5</f>
        <v>11111111111</v>
      </c>
    </row>
    <row r="29" spans="1:48">
      <c r="A29" s="2901" t="s">
        <v>2743</v>
      </c>
      <c r="B29" s="2902">
        <f>'预评函-2'!C5</f>
        <v>22</v>
      </c>
    </row>
    <row r="30" spans="1:48">
      <c r="A30" s="2901" t="s">
        <v>2744</v>
      </c>
      <c r="B30" s="2902" t="str">
        <f>'预评函-2'!D3</f>
        <v>土地使用证编号/不动产权证书编号</v>
      </c>
    </row>
    <row r="31" spans="1:48">
      <c r="A31" s="2901" t="s">
        <v>2718</v>
      </c>
      <c r="B31" s="2902" t="str">
        <f>'预评函-2'!D5</f>
        <v>京国土字第111号</v>
      </c>
    </row>
    <row r="32" spans="1:48">
      <c r="A32" s="2901" t="s">
        <v>2719</v>
      </c>
      <c r="B32" s="2902">
        <f>'预评函-2'!E5</f>
        <v>0</v>
      </c>
      <c r="AV32" s="2906"/>
    </row>
    <row r="33" spans="1:2">
      <c r="A33" s="2901" t="s">
        <v>2720</v>
      </c>
      <c r="B33" s="2902">
        <f>'预评函-2'!F5</f>
        <v>258</v>
      </c>
    </row>
    <row r="34" spans="1:2">
      <c r="A34" s="2901" t="s">
        <v>2721</v>
      </c>
      <c r="B34" s="2902">
        <f>'预评函-2'!G5</f>
        <v>0</v>
      </c>
    </row>
    <row r="35" spans="1:2">
      <c r="A35" s="2901" t="s">
        <v>2722</v>
      </c>
      <c r="B35" s="2902">
        <f>'预评函-2'!H5</f>
        <v>1.5</v>
      </c>
    </row>
    <row r="36" spans="1:2">
      <c r="A36" s="2901" t="s">
        <v>2723</v>
      </c>
      <c r="B36" s="2902">
        <f>'预评函-2'!I5</f>
        <v>1.5</v>
      </c>
    </row>
    <row r="37" spans="1:2">
      <c r="A37" s="2901" t="s">
        <v>2724</v>
      </c>
      <c r="B37" s="2902">
        <f>'预评函-2'!J5</f>
        <v>1.5</v>
      </c>
    </row>
    <row r="38" spans="1:2">
      <c r="A38" s="2901" t="s">
        <v>2725</v>
      </c>
      <c r="B38" s="2902" t="str">
        <f>'预评函-2'!K5</f>
        <v>红线外七通、宗地红线内</v>
      </c>
    </row>
    <row r="39" spans="1:2">
      <c r="A39" s="2901" t="s">
        <v>2726</v>
      </c>
      <c r="B39" s="2902" t="str">
        <f>'预评函-2'!L5</f>
        <v>红线外七通、宗地红线内场地</v>
      </c>
    </row>
    <row r="40" spans="1:2">
      <c r="A40" s="2901" t="s">
        <v>2745</v>
      </c>
      <c r="B40" s="2902" t="str">
        <f>'预评函-2'!M3</f>
        <v>（剩余）土地使用年限/年</v>
      </c>
    </row>
    <row r="41" spans="1:2">
      <c r="A41" s="2901" t="s">
        <v>2727</v>
      </c>
      <c r="B41" s="2902">
        <f>'预评函-2'!M5</f>
        <v>0</v>
      </c>
    </row>
    <row r="42" spans="1:2">
      <c r="A42" s="2901" t="s">
        <v>2746</v>
      </c>
      <c r="B42" s="2902" t="str">
        <f>'预评函-2'!N3</f>
        <v>（分摊）出让国有建设用地使用权面积/㎡</v>
      </c>
    </row>
    <row r="43" spans="1:2">
      <c r="A43" s="2901" t="s">
        <v>2728</v>
      </c>
      <c r="B43" s="2902">
        <f>'预评函-2'!N5</f>
        <v>35564.06</v>
      </c>
    </row>
    <row r="44" spans="1:2">
      <c r="A44" s="2901" t="s">
        <v>2747</v>
      </c>
      <c r="B44" s="2902" t="str">
        <f>'预评函-2'!O3</f>
        <v>规划建筑面积/㎡</v>
      </c>
    </row>
    <row r="45" spans="1:2">
      <c r="A45" s="2901" t="s">
        <v>2729</v>
      </c>
      <c r="B45" s="2902">
        <f>'预评函-2'!O5</f>
        <v>83910.81</v>
      </c>
    </row>
    <row r="46" spans="1:2">
      <c r="A46" s="2901" t="s">
        <v>2730</v>
      </c>
      <c r="B46" s="2902">
        <f ca="1">'预评函-2'!P5</f>
        <v>6389</v>
      </c>
    </row>
    <row r="47" spans="1:2">
      <c r="A47" s="2901" t="s">
        <v>2731</v>
      </c>
      <c r="B47" s="2902">
        <f ca="1">'预评函-2'!Q5</f>
        <v>2708</v>
      </c>
    </row>
    <row r="48" spans="1:2">
      <c r="A48" s="2901" t="s">
        <v>2732</v>
      </c>
      <c r="B48" s="2902">
        <f ca="1">'预评函-2'!R5</f>
        <v>22721</v>
      </c>
    </row>
    <row r="49" spans="1:2">
      <c r="A49" s="2901" t="s">
        <v>2748</v>
      </c>
      <c r="B49" s="2902" t="str">
        <f>'预评函-2'!A6</f>
        <v>抵押价格</v>
      </c>
    </row>
    <row r="50" spans="1:2">
      <c r="A50" s="2901" t="s">
        <v>2733</v>
      </c>
      <c r="B50" s="2902" t="str">
        <f>'预评函-2'!R6</f>
        <v>——</v>
      </c>
    </row>
    <row r="51" spans="1:2">
      <c r="A51" s="2901" t="s">
        <v>2749</v>
      </c>
      <c r="B51" s="2902" t="str">
        <f>'预评函-2'!A7</f>
        <v>——</v>
      </c>
    </row>
    <row r="52" spans="1:2">
      <c r="A52" s="2901" t="s">
        <v>2734</v>
      </c>
      <c r="B52" s="2902" t="str">
        <f>'预评函-2'!R7</f>
        <v>——</v>
      </c>
    </row>
    <row r="53" spans="1:2">
      <c r="A53" s="2901" t="s">
        <v>2750</v>
      </c>
      <c r="B53" s="2902">
        <f>'预评函-2'!A8</f>
        <v>0</v>
      </c>
    </row>
    <row r="54" spans="1:2" s="2916" customFormat="1" ht="15" thickBot="1">
      <c r="A54" s="2923" t="s">
        <v>2735</v>
      </c>
      <c r="B54" s="2924" t="str">
        <f>'预评函-2'!R8</f>
        <v>——</v>
      </c>
    </row>
    <row r="55" spans="1:2" ht="15" thickTop="1">
      <c r="A55" s="2912" t="s">
        <v>2685</v>
      </c>
      <c r="B55" s="2913" t="str">
        <f>'预评函-3'!A2</f>
        <v>1.权利限制：根据估价对象《不动产权证书》原件、《国有土地使用权》复印件，截至估价期日，估价对象抵押权未见登记。未设定租赁等其他他项权利。</v>
      </c>
    </row>
    <row r="56" spans="1:2">
      <c r="A56" s="2901" t="s">
        <v>2686</v>
      </c>
      <c r="B56" s="2902" t="str">
        <f>'预评函-3'!A3</f>
        <v>2.基础设施条件：估价对象实际开发程度为红线外七通、宗地红线内；本次评估设定开发程度为红线外七通、宗地红线内场地。</v>
      </c>
    </row>
    <row r="57" spans="1:2">
      <c r="A57" s="2901" t="s">
        <v>2687</v>
      </c>
      <c r="B57" s="2902" t="str">
        <f>'预评函-3'!A4</f>
        <v>3.估价规划限制条件：详见《建设工程规划许可证》[]、《出让合同》[]。</v>
      </c>
    </row>
    <row r="58" spans="1:2" s="2916" customFormat="1" ht="15" thickBot="1">
      <c r="A58" s="2923" t="s">
        <v>2736</v>
      </c>
      <c r="B58" s="2924" t="str">
        <f>'预评函-3'!A5</f>
        <v>4.影响价格的其他限定条件：无。</v>
      </c>
    </row>
    <row r="59" spans="1:2" ht="15" thickTop="1">
      <c r="A59" s="2912" t="s">
        <v>2688</v>
      </c>
      <c r="B59" s="2913" t="str">
        <f>'预评函-3'!A8</f>
        <v>2.本次评估设定估价对象宗地权属无争议，未被查封或者以其他形式限制其房地产权利，未设定抵押权等他项权利，不涉及第三方权利义务。</v>
      </c>
    </row>
    <row r="60" spans="1:2">
      <c r="A60" s="2901" t="s">
        <v>2689</v>
      </c>
      <c r="B60" s="2902" t="str">
        <f>'预评函-3'!A9</f>
        <v>——</v>
      </c>
    </row>
    <row r="61" spans="1:2">
      <c r="A61" s="2901" t="s">
        <v>2691</v>
      </c>
      <c r="B61" s="2902" t="str">
        <f>'预评函-3'!A10</f>
        <v>——</v>
      </c>
    </row>
    <row r="62" spans="1:2">
      <c r="A62" s="2901" t="s">
        <v>2690</v>
      </c>
      <c r="B62" s="2902" t="str">
        <f>'预评函-3'!A11</f>
        <v>——</v>
      </c>
    </row>
    <row r="63" spans="1:2">
      <c r="A63" s="2901" t="s">
        <v>2692</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2693</v>
      </c>
      <c r="B64" s="2907" t="str">
        <f>'预评函-3'!A13</f>
        <v>（3）。</v>
      </c>
    </row>
    <row r="65" spans="1:2">
      <c r="A65" s="2901" t="s">
        <v>2694</v>
      </c>
      <c r="B65" s="2908" t="str">
        <f>'预评函-3'!A14</f>
        <v>——</v>
      </c>
    </row>
    <row r="66" spans="1:2">
      <c r="A66" s="2901" t="s">
        <v>2695</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2696</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2699</v>
      </c>
      <c r="B68" s="2927">
        <f>'预评函-3'!D30</f>
        <v>42558</v>
      </c>
    </row>
    <row r="69" spans="1:2" ht="15" thickTop="1">
      <c r="A69" s="2912" t="s">
        <v>2697</v>
      </c>
      <c r="B69" s="2913" t="str">
        <f>'预评函-3'!A20</f>
        <v>土地估价师</v>
      </c>
    </row>
    <row r="70" spans="1:2">
      <c r="A70" s="2901" t="s">
        <v>2697</v>
      </c>
      <c r="B70" s="2908">
        <f>'预评函-3'!B20</f>
        <v>0</v>
      </c>
    </row>
    <row r="71" spans="1:2">
      <c r="A71" s="2901" t="s">
        <v>2698</v>
      </c>
      <c r="B71" s="2902" t="str">
        <f>'预评函-3'!A21</f>
        <v>土地估价师</v>
      </c>
    </row>
    <row r="72" spans="1:2" s="2916" customFormat="1" ht="15" thickBot="1">
      <c r="A72" s="2923" t="s">
        <v>2698</v>
      </c>
      <c r="B72" s="2929">
        <f>'预评函-3'!B21</f>
        <v>0</v>
      </c>
    </row>
    <row r="73" spans="1:2" ht="15" thickTop="1">
      <c r="A73" s="2912" t="s">
        <v>2757</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2758</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2759</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2794</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M20" sqref="M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79" t="s">
        <v>523</v>
      </c>
      <c r="D6" s="3680"/>
      <c r="E6" s="3703" t="s">
        <v>524</v>
      </c>
      <c r="F6" s="3704"/>
      <c r="G6" s="3679" t="s">
        <v>525</v>
      </c>
      <c r="H6" s="3680"/>
      <c r="I6" s="3679" t="s">
        <v>526</v>
      </c>
      <c r="J6" s="3680"/>
      <c r="K6" s="514" t="s">
        <v>527</v>
      </c>
      <c r="L6" s="2134"/>
      <c r="M6" s="2135"/>
      <c r="N6" s="2135"/>
      <c r="O6" s="2135"/>
      <c r="P6" s="3681" t="s">
        <v>528</v>
      </c>
      <c r="Q6" s="3682"/>
      <c r="R6" s="3667" t="s">
        <v>524</v>
      </c>
      <c r="S6" s="3668"/>
      <c r="T6" s="3667" t="s">
        <v>525</v>
      </c>
      <c r="U6" s="3668"/>
      <c r="V6" s="3687" t="s">
        <v>526</v>
      </c>
      <c r="W6" s="3687"/>
      <c r="X6" s="1568"/>
      <c r="Y6" s="3667" t="s">
        <v>528</v>
      </c>
      <c r="Z6" s="3668"/>
      <c r="AA6" s="3662" t="s">
        <v>524</v>
      </c>
      <c r="AB6" s="3663" t="s">
        <v>525</v>
      </c>
      <c r="AC6" s="3662" t="s">
        <v>526</v>
      </c>
    </row>
    <row r="7" spans="1:29" ht="15">
      <c r="A7" s="515"/>
      <c r="B7" s="516"/>
      <c r="C7" s="3690" t="s">
        <v>2936</v>
      </c>
      <c r="D7" s="3691"/>
      <c r="E7" s="3705" t="s">
        <v>2937</v>
      </c>
      <c r="F7" s="3706"/>
      <c r="G7" s="3690" t="s">
        <v>2938</v>
      </c>
      <c r="H7" s="3691"/>
      <c r="I7" s="3690" t="s">
        <v>2939</v>
      </c>
      <c r="J7" s="3691"/>
      <c r="K7" s="514"/>
      <c r="L7" s="2134"/>
      <c r="M7" s="2135"/>
      <c r="N7" s="2135"/>
      <c r="O7" s="2135"/>
      <c r="P7" s="3683"/>
      <c r="Q7" s="3684"/>
      <c r="R7" s="3669"/>
      <c r="S7" s="3670"/>
      <c r="T7" s="3669"/>
      <c r="U7" s="3670"/>
      <c r="V7" s="3687"/>
      <c r="W7" s="3687"/>
      <c r="X7" s="1568"/>
      <c r="Y7" s="3669"/>
      <c r="Z7" s="3670"/>
      <c r="AA7" s="3663"/>
      <c r="AB7" s="3663"/>
      <c r="AC7" s="3663"/>
    </row>
    <row r="8" spans="1:29" ht="15.75" thickBot="1">
      <c r="A8" s="517"/>
      <c r="B8" s="518"/>
      <c r="C8" s="3688" t="s">
        <v>2940</v>
      </c>
      <c r="D8" s="3689"/>
      <c r="E8" s="3707" t="s">
        <v>2940</v>
      </c>
      <c r="F8" s="3708"/>
      <c r="G8" s="3688" t="s">
        <v>2940</v>
      </c>
      <c r="H8" s="3689"/>
      <c r="I8" s="3688" t="s">
        <v>2940</v>
      </c>
      <c r="J8" s="3689"/>
      <c r="K8" s="514" t="s">
        <v>529</v>
      </c>
      <c r="L8" s="2134"/>
      <c r="M8" s="2135"/>
      <c r="N8" s="2135"/>
      <c r="O8" s="2135"/>
      <c r="P8" s="3685"/>
      <c r="Q8" s="3686"/>
      <c r="R8" s="3669"/>
      <c r="S8" s="3670"/>
      <c r="T8" s="3671"/>
      <c r="U8" s="3672"/>
      <c r="V8" s="3687"/>
      <c r="W8" s="3687"/>
      <c r="X8" s="1568"/>
      <c r="Y8" s="3671"/>
      <c r="Z8" s="3672"/>
      <c r="AA8" s="3664"/>
      <c r="AB8" s="3664"/>
      <c r="AC8" s="3664"/>
    </row>
    <row r="9" spans="1:29" s="1220" customFormat="1" ht="15.75" thickBot="1">
      <c r="A9" s="2936"/>
      <c r="B9" s="2943" t="s">
        <v>530</v>
      </c>
      <c r="C9" s="519">
        <f>'数据-取费表'!B2</f>
        <v>43136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65" t="s">
        <v>531</v>
      </c>
      <c r="Q9" s="3674"/>
      <c r="R9" s="1569" t="s">
        <v>8</v>
      </c>
      <c r="S9" s="1570">
        <f t="shared" ref="S9:S17" si="0">F9</f>
        <v>0</v>
      </c>
      <c r="T9" s="1569" t="s">
        <v>8</v>
      </c>
      <c r="U9" s="1570">
        <f t="shared" ref="U9:U17" si="1">H9</f>
        <v>0</v>
      </c>
      <c r="V9" s="1569" t="s">
        <v>8</v>
      </c>
      <c r="W9" s="1570">
        <f t="shared" ref="W9:W17" si="2">J9</f>
        <v>0</v>
      </c>
      <c r="X9" s="1571"/>
      <c r="Y9" s="3665" t="s">
        <v>531</v>
      </c>
      <c r="Z9" s="3666"/>
      <c r="AA9" s="1572" t="e">
        <f>D9/F9</f>
        <v>#DIV/0!</v>
      </c>
      <c r="AB9" s="1572" t="e">
        <f>D9/H9</f>
        <v>#DIV/0!</v>
      </c>
      <c r="AC9" s="1572" t="e">
        <f>D9/J9</f>
        <v>#DIV/0!</v>
      </c>
    </row>
    <row r="10" spans="1:29" s="1220"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65" t="s">
        <v>534</v>
      </c>
      <c r="Q10" s="3666"/>
      <c r="R10" s="1569" t="s">
        <v>8</v>
      </c>
      <c r="S10" s="1570">
        <f t="shared" si="0"/>
        <v>0</v>
      </c>
      <c r="T10" s="1569" t="s">
        <v>8</v>
      </c>
      <c r="U10" s="1570">
        <f t="shared" si="1"/>
        <v>0</v>
      </c>
      <c r="V10" s="1569" t="s">
        <v>8</v>
      </c>
      <c r="W10" s="1570">
        <f t="shared" si="2"/>
        <v>0</v>
      </c>
      <c r="X10" s="1571"/>
      <c r="Y10" s="3665" t="s">
        <v>534</v>
      </c>
      <c r="Z10" s="3666"/>
      <c r="AA10" s="1572" t="e">
        <f t="shared" ref="AA10:AA42" si="3">D10/F10</f>
        <v>#DIV/0!</v>
      </c>
      <c r="AB10" s="1572" t="e">
        <f t="shared" ref="AB10:AB42" si="4">D10/H10</f>
        <v>#DIV/0!</v>
      </c>
      <c r="AC10" s="1572" t="e">
        <f t="shared" ref="AC10:AC42" si="5">D10/J10</f>
        <v>#DIV/0!</v>
      </c>
    </row>
    <row r="11" spans="1:29" s="1220" customFormat="1" ht="15">
      <c r="A11" s="2938"/>
      <c r="B11" s="2945"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73" t="s">
        <v>536</v>
      </c>
      <c r="Q11" s="1151" t="str">
        <f t="shared" ref="Q11:Q17" si="6">B11</f>
        <v>用途</v>
      </c>
      <c r="R11" s="1569" t="s">
        <v>8</v>
      </c>
      <c r="S11" s="1570">
        <f t="shared" si="0"/>
        <v>100</v>
      </c>
      <c r="T11" s="1569" t="s">
        <v>8</v>
      </c>
      <c r="U11" s="1570">
        <f t="shared" si="1"/>
        <v>100</v>
      </c>
      <c r="V11" s="1569" t="s">
        <v>8</v>
      </c>
      <c r="W11" s="1570">
        <f t="shared" si="2"/>
        <v>100</v>
      </c>
      <c r="X11" s="1571"/>
      <c r="Y11" s="3630" t="s">
        <v>537</v>
      </c>
      <c r="Z11" s="1150" t="str">
        <f t="shared" ref="Z11:Z17" si="7">Q11</f>
        <v>用途</v>
      </c>
      <c r="AA11" s="1572">
        <f t="shared" si="3"/>
        <v>1</v>
      </c>
      <c r="AB11" s="1572">
        <f t="shared" si="4"/>
        <v>1</v>
      </c>
      <c r="AC11" s="1572">
        <f t="shared" si="5"/>
        <v>1</v>
      </c>
    </row>
    <row r="12" spans="1:29" s="1338" customFormat="1" ht="27">
      <c r="A12" s="2939"/>
      <c r="B12" s="2944" t="s">
        <v>2764</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73"/>
      <c r="Q12" s="1151" t="str">
        <f t="shared" si="6"/>
        <v>土地使用年限（年）</v>
      </c>
      <c r="R12" s="1569" t="s">
        <v>8</v>
      </c>
      <c r="S12" s="1570">
        <f t="shared" si="0"/>
        <v>100</v>
      </c>
      <c r="T12" s="1569" t="s">
        <v>8</v>
      </c>
      <c r="U12" s="1570">
        <f t="shared" si="1"/>
        <v>100</v>
      </c>
      <c r="V12" s="1569" t="s">
        <v>8</v>
      </c>
      <c r="W12" s="1570">
        <f t="shared" si="2"/>
        <v>100</v>
      </c>
      <c r="X12" s="1571"/>
      <c r="Y12" s="3630"/>
      <c r="Z12" s="1150" t="str">
        <f t="shared" si="7"/>
        <v>土地使用年限（年）</v>
      </c>
      <c r="AA12" s="1572">
        <f t="shared" si="3"/>
        <v>1</v>
      </c>
      <c r="AB12" s="1572">
        <f t="shared" si="4"/>
        <v>1</v>
      </c>
      <c r="AC12" s="1572">
        <f t="shared" si="5"/>
        <v>1</v>
      </c>
    </row>
    <row r="13" spans="1:29" ht="15">
      <c r="A13" s="2940"/>
      <c r="B13" s="2944"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73"/>
      <c r="Q13" s="1151" t="str">
        <f t="shared" si="6"/>
        <v>容积率</v>
      </c>
      <c r="R13" s="1569" t="s">
        <v>8</v>
      </c>
      <c r="S13" s="1570" t="e">
        <f t="shared" si="0"/>
        <v>#N/A</v>
      </c>
      <c r="T13" s="1569" t="s">
        <v>8</v>
      </c>
      <c r="U13" s="1570" t="e">
        <f t="shared" si="1"/>
        <v>#N/A</v>
      </c>
      <c r="V13" s="1569" t="s">
        <v>8</v>
      </c>
      <c r="W13" s="1570" t="e">
        <f t="shared" si="2"/>
        <v>#N/A</v>
      </c>
      <c r="X13" s="1571"/>
      <c r="Y13" s="3630"/>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73"/>
      <c r="Q14" s="1151">
        <f t="shared" si="6"/>
        <v>111</v>
      </c>
      <c r="R14" s="1569" t="s">
        <v>8</v>
      </c>
      <c r="S14" s="1570">
        <f t="shared" si="0"/>
        <v>100</v>
      </c>
      <c r="T14" s="1569" t="s">
        <v>8</v>
      </c>
      <c r="U14" s="1570">
        <f t="shared" si="1"/>
        <v>100</v>
      </c>
      <c r="V14" s="1569" t="s">
        <v>8</v>
      </c>
      <c r="W14" s="1570">
        <f t="shared" si="2"/>
        <v>100</v>
      </c>
      <c r="X14" s="1571"/>
      <c r="Y14" s="3630"/>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73"/>
      <c r="Q15" s="1151">
        <f t="shared" si="6"/>
        <v>111</v>
      </c>
      <c r="R15" s="1569" t="s">
        <v>8</v>
      </c>
      <c r="S15" s="1570">
        <f t="shared" si="0"/>
        <v>100</v>
      </c>
      <c r="T15" s="1569" t="s">
        <v>8</v>
      </c>
      <c r="U15" s="1570">
        <f t="shared" si="1"/>
        <v>100</v>
      </c>
      <c r="V15" s="1569" t="s">
        <v>8</v>
      </c>
      <c r="W15" s="1570">
        <f t="shared" si="2"/>
        <v>100</v>
      </c>
      <c r="X15" s="1571"/>
      <c r="Y15" s="3630"/>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73"/>
      <c r="Q16" s="1151">
        <f t="shared" si="6"/>
        <v>111</v>
      </c>
      <c r="R16" s="1569" t="s">
        <v>8</v>
      </c>
      <c r="S16" s="1570">
        <f t="shared" si="0"/>
        <v>100</v>
      </c>
      <c r="T16" s="1569" t="s">
        <v>8</v>
      </c>
      <c r="U16" s="1570">
        <f t="shared" si="1"/>
        <v>100</v>
      </c>
      <c r="V16" s="1569" t="s">
        <v>8</v>
      </c>
      <c r="W16" s="1570">
        <f t="shared" si="2"/>
        <v>100</v>
      </c>
      <c r="X16" s="1571"/>
      <c r="Y16" s="3630"/>
      <c r="Z16" s="1150">
        <f t="shared" si="7"/>
        <v>111</v>
      </c>
      <c r="AA16" s="1572">
        <f t="shared" si="3"/>
        <v>1</v>
      </c>
      <c r="AB16" s="1572">
        <f t="shared" si="4"/>
        <v>1</v>
      </c>
      <c r="AC16" s="1572">
        <f t="shared" si="5"/>
        <v>1</v>
      </c>
    </row>
    <row r="17" spans="1:29" ht="57">
      <c r="A17" s="2934"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75" t="s">
        <v>541</v>
      </c>
      <c r="Q17" s="1573" t="str">
        <f t="shared" si="6"/>
        <v>产业集聚程度</v>
      </c>
      <c r="R17" s="1574" t="s">
        <v>8</v>
      </c>
      <c r="S17" s="1575">
        <f t="shared" si="0"/>
        <v>100</v>
      </c>
      <c r="T17" s="1574" t="s">
        <v>8</v>
      </c>
      <c r="U17" s="1575">
        <f t="shared" si="1"/>
        <v>100</v>
      </c>
      <c r="V17" s="1574" t="s">
        <v>8</v>
      </c>
      <c r="W17" s="1575">
        <f t="shared" si="2"/>
        <v>100</v>
      </c>
      <c r="X17" s="1568"/>
      <c r="Y17" s="3675"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676"/>
      <c r="Q18" s="1573"/>
      <c r="R18" s="1574"/>
      <c r="S18" s="1575"/>
      <c r="T18" s="1574"/>
      <c r="U18" s="1575"/>
      <c r="V18" s="1574"/>
      <c r="W18" s="1575"/>
      <c r="X18" s="1568"/>
      <c r="Y18" s="3676"/>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76"/>
      <c r="Q19" s="1573" t="str">
        <f>B19</f>
        <v>交通便捷度</v>
      </c>
      <c r="R19" s="1574" t="s">
        <v>8</v>
      </c>
      <c r="S19" s="1575">
        <f>F19</f>
        <v>100</v>
      </c>
      <c r="T19" s="1574" t="s">
        <v>8</v>
      </c>
      <c r="U19" s="1575">
        <f>H19</f>
        <v>100</v>
      </c>
      <c r="V19" s="1574" t="s">
        <v>8</v>
      </c>
      <c r="W19" s="1575">
        <f>J19</f>
        <v>100</v>
      </c>
      <c r="X19" s="1568"/>
      <c r="Y19" s="367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676"/>
      <c r="Q20" s="1573"/>
      <c r="R20" s="1574"/>
      <c r="S20" s="1575"/>
      <c r="T20" s="1574"/>
      <c r="U20" s="1575"/>
      <c r="V20" s="1574"/>
      <c r="W20" s="1575"/>
      <c r="X20" s="1568"/>
      <c r="Y20" s="3676"/>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676"/>
      <c r="Q21" s="1573" t="str">
        <f t="shared" ref="Q21:Q35" si="8">B21</f>
        <v>区域土地利用方向</v>
      </c>
      <c r="R21" s="1574" t="s">
        <v>8</v>
      </c>
      <c r="S21" s="1575">
        <f>F21</f>
        <v>100</v>
      </c>
      <c r="T21" s="1574" t="s">
        <v>8</v>
      </c>
      <c r="U21" s="1575">
        <f>H21</f>
        <v>100</v>
      </c>
      <c r="V21" s="1574" t="s">
        <v>8</v>
      </c>
      <c r="W21" s="1575">
        <f>J21</f>
        <v>100</v>
      </c>
      <c r="X21" s="1568"/>
      <c r="Y21" s="367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676"/>
      <c r="Q22" s="1573"/>
      <c r="R22" s="1574"/>
      <c r="S22" s="1575"/>
      <c r="T22" s="1574"/>
      <c r="U22" s="1575"/>
      <c r="V22" s="1574"/>
      <c r="W22" s="1575"/>
      <c r="X22" s="1568"/>
      <c r="Y22" s="3676"/>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76"/>
      <c r="Q23" s="1573" t="str">
        <f t="shared" si="8"/>
        <v>环境状况</v>
      </c>
      <c r="R23" s="1574" t="s">
        <v>8</v>
      </c>
      <c r="S23" s="1575">
        <f>F23</f>
        <v>100</v>
      </c>
      <c r="T23" s="1574" t="s">
        <v>8</v>
      </c>
      <c r="U23" s="1575">
        <f>H23</f>
        <v>100</v>
      </c>
      <c r="V23" s="1574" t="s">
        <v>8</v>
      </c>
      <c r="W23" s="1575">
        <f>J23</f>
        <v>100</v>
      </c>
      <c r="X23" s="1568"/>
      <c r="Y23" s="367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676"/>
      <c r="Q24" s="1573"/>
      <c r="R24" s="1574"/>
      <c r="S24" s="1575"/>
      <c r="T24" s="1574"/>
      <c r="U24" s="1575"/>
      <c r="V24" s="1574"/>
      <c r="W24" s="1575"/>
      <c r="X24" s="1568"/>
      <c r="Y24" s="3676"/>
      <c r="Z24" s="1576"/>
      <c r="AA24" s="1577">
        <v>1</v>
      </c>
      <c r="AB24" s="1577">
        <v>1</v>
      </c>
      <c r="AC24" s="1577">
        <v>1</v>
      </c>
    </row>
    <row r="25" spans="1:29" s="1220" customFormat="1" ht="42.75">
      <c r="A25" s="577"/>
      <c r="B25" s="2616"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76"/>
      <c r="Q25" s="1151" t="str">
        <f t="shared" si="8"/>
        <v>公共配套设施</v>
      </c>
      <c r="R25" s="1569" t="s">
        <v>8</v>
      </c>
      <c r="S25" s="1570">
        <f>F25</f>
        <v>100</v>
      </c>
      <c r="T25" s="1569" t="s">
        <v>8</v>
      </c>
      <c r="U25" s="1570">
        <f>H25</f>
        <v>100</v>
      </c>
      <c r="V25" s="1569" t="s">
        <v>8</v>
      </c>
      <c r="W25" s="1570">
        <f>J25</f>
        <v>100</v>
      </c>
      <c r="X25" s="1571"/>
      <c r="Y25" s="3676"/>
      <c r="Z25" s="1150" t="str">
        <f>Q25</f>
        <v>公共配套设施</v>
      </c>
      <c r="AA25" s="1577">
        <f>D25/F25</f>
        <v>1</v>
      </c>
      <c r="AB25" s="1577">
        <f>D25/H25</f>
        <v>1</v>
      </c>
      <c r="AC25" s="1577">
        <f>D25/J25</f>
        <v>1</v>
      </c>
    </row>
    <row r="26" spans="1:29" s="1220" customFormat="1" ht="15">
      <c r="A26" s="577"/>
      <c r="B26" s="595"/>
      <c r="C26" s="2615"/>
      <c r="D26" s="555"/>
      <c r="E26" s="554"/>
      <c r="F26" s="555"/>
      <c r="G26" s="554"/>
      <c r="H26" s="555"/>
      <c r="I26" s="576"/>
      <c r="J26" s="555"/>
      <c r="K26" s="531"/>
      <c r="L26" s="2136"/>
      <c r="M26" s="2137"/>
      <c r="N26" s="2137"/>
      <c r="O26" s="2138"/>
      <c r="P26" s="3676"/>
      <c r="Q26" s="1151"/>
      <c r="R26" s="1569"/>
      <c r="S26" s="1570"/>
      <c r="T26" s="1569"/>
      <c r="U26" s="1570"/>
      <c r="V26" s="1569"/>
      <c r="W26" s="1570"/>
      <c r="X26" s="1571"/>
      <c r="Y26" s="3676"/>
      <c r="Z26" s="1150"/>
      <c r="AA26" s="1572">
        <v>1</v>
      </c>
      <c r="AB26" s="1572">
        <v>1</v>
      </c>
      <c r="AC26" s="1572">
        <v>1</v>
      </c>
    </row>
    <row r="27" spans="1:29" s="1220" customFormat="1" ht="28.5">
      <c r="A27" s="577"/>
      <c r="B27" s="2616"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76"/>
      <c r="Q27" s="2601" t="str">
        <f t="shared" ref="Q27" si="9">B27</f>
        <v>基础设施水平</v>
      </c>
      <c r="R27" s="1569" t="s">
        <v>8</v>
      </c>
      <c r="S27" s="1570">
        <f>F27</f>
        <v>100</v>
      </c>
      <c r="T27" s="1569" t="s">
        <v>8</v>
      </c>
      <c r="U27" s="1570">
        <f>H27</f>
        <v>100</v>
      </c>
      <c r="V27" s="1569" t="s">
        <v>8</v>
      </c>
      <c r="W27" s="1570">
        <f>J27</f>
        <v>100</v>
      </c>
      <c r="X27" s="1571"/>
      <c r="Y27" s="3676"/>
      <c r="Z27" s="2598" t="str">
        <f>Q27</f>
        <v>基础设施水平</v>
      </c>
      <c r="AA27" s="1577">
        <f>D27/F27</f>
        <v>1</v>
      </c>
      <c r="AB27" s="1577">
        <f>D27/H27</f>
        <v>1</v>
      </c>
      <c r="AC27" s="1577">
        <f>D27/J27</f>
        <v>1</v>
      </c>
    </row>
    <row r="28" spans="1:29" s="1220" customFormat="1" ht="15">
      <c r="A28" s="577"/>
      <c r="B28" s="595"/>
      <c r="C28" s="2615"/>
      <c r="D28" s="555"/>
      <c r="E28" s="579"/>
      <c r="F28" s="555"/>
      <c r="G28" s="579"/>
      <c r="H28" s="555"/>
      <c r="I28" s="579"/>
      <c r="J28" s="555"/>
      <c r="K28" s="531"/>
      <c r="L28" s="2136"/>
      <c r="M28" s="2137"/>
      <c r="N28" s="2137"/>
      <c r="O28" s="2138"/>
      <c r="P28" s="3676"/>
      <c r="Q28" s="2601"/>
      <c r="R28" s="1569"/>
      <c r="S28" s="1570"/>
      <c r="T28" s="1569"/>
      <c r="U28" s="1570"/>
      <c r="V28" s="1569"/>
      <c r="W28" s="1570"/>
      <c r="X28" s="1571"/>
      <c r="Y28" s="3676"/>
      <c r="Z28" s="2598"/>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7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76"/>
      <c r="Z29" s="1576" t="str">
        <f t="shared" ref="Z29:Z42" si="13">Q29</f>
        <v>临街状况</v>
      </c>
      <c r="AA29" s="1577">
        <f t="shared" si="3"/>
        <v>1</v>
      </c>
      <c r="AB29" s="1577">
        <f t="shared" si="4"/>
        <v>1</v>
      </c>
      <c r="AC29" s="1577">
        <f t="shared" si="5"/>
        <v>1</v>
      </c>
    </row>
    <row r="30" spans="1:29" ht="27">
      <c r="A30" s="532"/>
      <c r="B30" s="922" t="s">
        <v>549</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76"/>
      <c r="Q30" s="1573" t="str">
        <f t="shared" si="8"/>
        <v>毗邻道路的类型与等级</v>
      </c>
      <c r="R30" s="1574" t="s">
        <v>8</v>
      </c>
      <c r="S30" s="1575">
        <f t="shared" si="10"/>
        <v>100</v>
      </c>
      <c r="T30" s="1574" t="s">
        <v>8</v>
      </c>
      <c r="U30" s="1575">
        <f t="shared" si="11"/>
        <v>100</v>
      </c>
      <c r="V30" s="1574" t="s">
        <v>8</v>
      </c>
      <c r="W30" s="1575">
        <f t="shared" si="12"/>
        <v>100</v>
      </c>
      <c r="X30" s="1568"/>
      <c r="Y30" s="3676"/>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676"/>
      <c r="Q31" s="1573"/>
      <c r="R31" s="1574"/>
      <c r="S31" s="1575"/>
      <c r="T31" s="1574"/>
      <c r="U31" s="1575"/>
      <c r="V31" s="1574"/>
      <c r="W31" s="1575"/>
      <c r="X31" s="1568"/>
      <c r="Y31" s="3676"/>
      <c r="Z31" s="1576"/>
      <c r="AA31" s="1577">
        <v>1</v>
      </c>
      <c r="AB31" s="1577">
        <v>1</v>
      </c>
      <c r="AC31" s="1577">
        <v>1</v>
      </c>
    </row>
    <row r="32" spans="1:29" ht="15">
      <c r="A32" s="532"/>
      <c r="B32" s="527" t="s">
        <v>550</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76"/>
      <c r="Q32" s="1573" t="str">
        <f t="shared" si="8"/>
        <v>土地级别</v>
      </c>
      <c r="R32" s="1574" t="s">
        <v>8</v>
      </c>
      <c r="S32" s="1575">
        <f t="shared" si="10"/>
        <v>100</v>
      </c>
      <c r="T32" s="1574" t="s">
        <v>8</v>
      </c>
      <c r="U32" s="1575">
        <f t="shared" si="11"/>
        <v>100</v>
      </c>
      <c r="V32" s="1574" t="s">
        <v>8</v>
      </c>
      <c r="W32" s="1575">
        <f t="shared" si="12"/>
        <v>100</v>
      </c>
      <c r="X32" s="1568"/>
      <c r="Y32" s="367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76"/>
      <c r="Q33" s="1573">
        <f t="shared" si="8"/>
        <v>111</v>
      </c>
      <c r="R33" s="1574" t="s">
        <v>8</v>
      </c>
      <c r="S33" s="1575">
        <f t="shared" si="10"/>
        <v>100</v>
      </c>
      <c r="T33" s="1574" t="s">
        <v>8</v>
      </c>
      <c r="U33" s="1575">
        <f t="shared" si="11"/>
        <v>100</v>
      </c>
      <c r="V33" s="1574" t="s">
        <v>8</v>
      </c>
      <c r="W33" s="1575">
        <f t="shared" si="12"/>
        <v>100</v>
      </c>
      <c r="X33" s="1568"/>
      <c r="Y33" s="367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77" t="s">
        <v>551</v>
      </c>
      <c r="Q34" s="1573">
        <f t="shared" si="8"/>
        <v>111</v>
      </c>
      <c r="R34" s="1574" t="s">
        <v>8</v>
      </c>
      <c r="S34" s="1575">
        <f t="shared" si="10"/>
        <v>100</v>
      </c>
      <c r="T34" s="1574" t="s">
        <v>8</v>
      </c>
      <c r="U34" s="1575">
        <f t="shared" si="11"/>
        <v>100</v>
      </c>
      <c r="V34" s="1574" t="s">
        <v>8</v>
      </c>
      <c r="W34" s="1575">
        <f t="shared" si="12"/>
        <v>100</v>
      </c>
      <c r="X34" s="1568"/>
      <c r="Y34" s="3678" t="s">
        <v>551</v>
      </c>
      <c r="Z34" s="1576">
        <f t="shared" si="13"/>
        <v>111</v>
      </c>
      <c r="AA34" s="1577">
        <f t="shared" si="3"/>
        <v>1</v>
      </c>
      <c r="AB34" s="1577">
        <f t="shared" si="4"/>
        <v>1</v>
      </c>
      <c r="AC34" s="1577">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78"/>
      <c r="Q35" s="1573">
        <f t="shared" si="8"/>
        <v>111</v>
      </c>
      <c r="R35" s="1578" t="s">
        <v>8</v>
      </c>
      <c r="S35" s="1579">
        <f t="shared" si="10"/>
        <v>100</v>
      </c>
      <c r="T35" s="1578" t="s">
        <v>8</v>
      </c>
      <c r="U35" s="1579">
        <f t="shared" si="11"/>
        <v>100</v>
      </c>
      <c r="V35" s="1578" t="s">
        <v>8</v>
      </c>
      <c r="W35" s="1579">
        <f t="shared" si="12"/>
        <v>100</v>
      </c>
      <c r="X35" s="1580"/>
      <c r="Y35" s="3678"/>
      <c r="Z35" s="1581">
        <f t="shared" si="13"/>
        <v>111</v>
      </c>
      <c r="AA35" s="1577">
        <f t="shared" si="3"/>
        <v>1</v>
      </c>
      <c r="AB35" s="1577">
        <f t="shared" si="4"/>
        <v>1</v>
      </c>
      <c r="AC35" s="1577">
        <f t="shared" si="5"/>
        <v>1</v>
      </c>
    </row>
    <row r="36" spans="1:29" ht="15">
      <c r="A36" s="2931"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78"/>
      <c r="Q36" s="1573" t="str">
        <f>B36</f>
        <v>宗地面积</v>
      </c>
      <c r="R36" s="1574" t="s">
        <v>8</v>
      </c>
      <c r="S36" s="1575" t="e">
        <f t="shared" si="10"/>
        <v>#N/A</v>
      </c>
      <c r="T36" s="1574" t="s">
        <v>8</v>
      </c>
      <c r="U36" s="1575" t="e">
        <f t="shared" si="11"/>
        <v>#N/A</v>
      </c>
      <c r="V36" s="1574" t="s">
        <v>8</v>
      </c>
      <c r="W36" s="1575" t="e">
        <f t="shared" si="12"/>
        <v>#N/A</v>
      </c>
      <c r="X36" s="1568"/>
      <c r="Y36" s="3678"/>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78"/>
      <c r="Q37" s="1573" t="str">
        <f t="shared" ref="Q37:Q42" si="14">B37</f>
        <v>宗地形状</v>
      </c>
      <c r="R37" s="1574" t="s">
        <v>8</v>
      </c>
      <c r="S37" s="1575">
        <f t="shared" si="10"/>
        <v>100</v>
      </c>
      <c r="T37" s="1574" t="s">
        <v>8</v>
      </c>
      <c r="U37" s="1575">
        <f t="shared" si="11"/>
        <v>100</v>
      </c>
      <c r="V37" s="1574" t="s">
        <v>8</v>
      </c>
      <c r="W37" s="1575">
        <f t="shared" si="12"/>
        <v>100</v>
      </c>
      <c r="X37" s="1568"/>
      <c r="Y37" s="3678"/>
      <c r="Z37" s="1576" t="str">
        <f t="shared" si="13"/>
        <v>宗地形状</v>
      </c>
      <c r="AA37" s="1577">
        <f t="shared" si="3"/>
        <v>1</v>
      </c>
      <c r="AB37" s="1577">
        <f t="shared" si="4"/>
        <v>1</v>
      </c>
      <c r="AC37" s="1577">
        <f t="shared" si="5"/>
        <v>1</v>
      </c>
    </row>
    <row r="38" spans="1:29" s="1220"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78"/>
      <c r="Q38" s="1573" t="str">
        <f t="shared" si="14"/>
        <v>宗地开发程度</v>
      </c>
      <c r="R38" s="1569" t="s">
        <v>8</v>
      </c>
      <c r="S38" s="1570">
        <f t="shared" si="10"/>
        <v>100</v>
      </c>
      <c r="T38" s="1569" t="s">
        <v>8</v>
      </c>
      <c r="U38" s="1570">
        <f t="shared" si="11"/>
        <v>100</v>
      </c>
      <c r="V38" s="1569" t="s">
        <v>8</v>
      </c>
      <c r="W38" s="1570">
        <f t="shared" si="12"/>
        <v>100</v>
      </c>
      <c r="X38" s="1571"/>
      <c r="Y38" s="3678"/>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78" t="s">
        <v>602</v>
      </c>
      <c r="Q39" s="1573" t="str">
        <f t="shared" si="14"/>
        <v>工程地质条件</v>
      </c>
      <c r="R39" s="1574" t="s">
        <v>8</v>
      </c>
      <c r="S39" s="1575">
        <f t="shared" si="10"/>
        <v>100</v>
      </c>
      <c r="T39" s="1574" t="s">
        <v>8</v>
      </c>
      <c r="U39" s="1575">
        <f t="shared" si="11"/>
        <v>100</v>
      </c>
      <c r="V39" s="1574" t="s">
        <v>8</v>
      </c>
      <c r="W39" s="1575">
        <f t="shared" si="12"/>
        <v>100</v>
      </c>
      <c r="X39" s="1568"/>
      <c r="Y39" s="3678"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78"/>
      <c r="Q40" s="1573">
        <f t="shared" si="14"/>
        <v>111</v>
      </c>
      <c r="R40" s="1574" t="s">
        <v>8</v>
      </c>
      <c r="S40" s="1575">
        <f t="shared" si="10"/>
        <v>100</v>
      </c>
      <c r="T40" s="1574" t="s">
        <v>8</v>
      </c>
      <c r="U40" s="1575">
        <f t="shared" si="11"/>
        <v>100</v>
      </c>
      <c r="V40" s="1574" t="s">
        <v>8</v>
      </c>
      <c r="W40" s="1575">
        <f t="shared" si="12"/>
        <v>100</v>
      </c>
      <c r="X40" s="1568"/>
      <c r="Y40" s="367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78"/>
      <c r="Q41" s="1573">
        <f t="shared" si="14"/>
        <v>111</v>
      </c>
      <c r="R41" s="1574" t="s">
        <v>8</v>
      </c>
      <c r="S41" s="1575">
        <f t="shared" si="10"/>
        <v>100</v>
      </c>
      <c r="T41" s="1574" t="s">
        <v>8</v>
      </c>
      <c r="U41" s="1575">
        <f t="shared" si="11"/>
        <v>100</v>
      </c>
      <c r="V41" s="1574" t="s">
        <v>8</v>
      </c>
      <c r="W41" s="1575">
        <f t="shared" si="12"/>
        <v>100</v>
      </c>
      <c r="X41" s="1568"/>
      <c r="Y41" s="367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78"/>
      <c r="Q42" s="1573">
        <f t="shared" si="14"/>
        <v>111</v>
      </c>
      <c r="R42" s="1578" t="s">
        <v>8</v>
      </c>
      <c r="S42" s="1579">
        <f t="shared" si="10"/>
        <v>100</v>
      </c>
      <c r="T42" s="1578" t="s">
        <v>8</v>
      </c>
      <c r="U42" s="1579">
        <f t="shared" si="11"/>
        <v>100</v>
      </c>
      <c r="V42" s="1578" t="s">
        <v>8</v>
      </c>
      <c r="W42" s="1579">
        <f t="shared" si="12"/>
        <v>100</v>
      </c>
      <c r="X42" s="1580"/>
      <c r="Y42" s="3678"/>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5"/>
      <c r="M43" s="2135"/>
      <c r="N43" s="2135"/>
      <c r="O43" s="2146"/>
      <c r="P43" s="3673" t="str">
        <f>A43</f>
        <v>成交单价</v>
      </c>
      <c r="Q43" s="3673"/>
      <c r="R43" s="3687">
        <f>E43</f>
        <v>0</v>
      </c>
      <c r="S43" s="3687"/>
      <c r="T43" s="3687">
        <f>G43</f>
        <v>0</v>
      </c>
      <c r="U43" s="3687"/>
      <c r="V43" s="3687">
        <f>I43</f>
        <v>0</v>
      </c>
      <c r="W43" s="3687"/>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673" t="str">
        <f>A44</f>
        <v>比较价格（元/平方米）</v>
      </c>
      <c r="Q44" s="3673"/>
      <c r="R44" s="3697" t="e">
        <f>ROUND(PRODUCT(R43,AA9:AA42),0)</f>
        <v>#DIV/0!</v>
      </c>
      <c r="S44" s="3697"/>
      <c r="T44" s="3697" t="e">
        <f>ROUND(PRODUCT(T43,AB9:AB42),0)</f>
        <v>#DIV/0!</v>
      </c>
      <c r="U44" s="3697"/>
      <c r="V44" s="3697" t="e">
        <f>ROUND(PRODUCT(V43,AC9:AC42),0)</f>
        <v>#DIV/0!</v>
      </c>
      <c r="W44" s="3697"/>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5"/>
      <c r="M45" s="2135"/>
      <c r="N45" s="2135"/>
      <c r="O45" s="2146"/>
      <c r="P45" s="3694" t="str">
        <f>A45</f>
        <v>估价对象XX用房的比较价格（楼面单价，元/平方米）</v>
      </c>
      <c r="Q45" s="3695"/>
      <c r="R45" s="3696" t="e">
        <f>ROUND(AVERAGE(R44:V44),0)</f>
        <v>#DIV/0!</v>
      </c>
      <c r="S45" s="3696"/>
      <c r="T45" s="3696"/>
      <c r="U45" s="3696"/>
      <c r="V45" s="3696"/>
      <c r="W45" s="369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2297</v>
      </c>
      <c r="E52" s="631" t="s">
        <v>563</v>
      </c>
      <c r="F52" s="1952" t="s">
        <v>564</v>
      </c>
      <c r="G52" s="3698" t="s">
        <v>2288</v>
      </c>
      <c r="H52" s="3699"/>
      <c r="I52" s="1953" t="s">
        <v>1949</v>
      </c>
      <c r="J52" s="1556">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53353.239999999991</v>
      </c>
      <c r="F53" s="1951" t="e">
        <f t="shared" ref="F53:F62" si="15">ROUND(B53*E53/10000,0)</f>
        <v>#DIV/0!</v>
      </c>
      <c r="G53" s="3700"/>
      <c r="H53" s="370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02" t="s">
        <v>2289</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0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0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0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30557.57</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35564.06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1" t="s">
        <v>2540</v>
      </c>
      <c r="B67" s="646"/>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2" t="s">
        <v>2656</v>
      </c>
      <c r="B68" s="479" t="str">
        <f>"北京市平均增长率"&amp;TEXT(基准地价!P24,"0.00%")</f>
        <v>北京市平均增长率1.31%</v>
      </c>
      <c r="C68" s="894">
        <v>100</v>
      </c>
      <c r="D68" s="730"/>
      <c r="E68" s="730"/>
      <c r="F68" s="730"/>
      <c r="G68" s="730"/>
      <c r="H68" s="730"/>
      <c r="I68" s="730"/>
      <c r="J68" s="730"/>
      <c r="K68" s="730"/>
      <c r="L68" s="730"/>
      <c r="M68" s="2816"/>
      <c r="N68" s="2817"/>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4"/>
      <c r="D69" s="2815"/>
      <c r="E69" s="2815"/>
      <c r="F69" s="2815"/>
      <c r="G69" s="2815"/>
      <c r="H69" s="2815"/>
      <c r="I69" s="2815"/>
      <c r="J69" s="2815"/>
      <c r="K69" s="2815"/>
      <c r="L69" s="2815"/>
      <c r="M69" s="2815"/>
      <c r="N69" s="2815"/>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0" t="s">
        <v>2557</v>
      </c>
      <c r="C95" s="2621" t="s">
        <v>2558</v>
      </c>
      <c r="D95" s="2621" t="s">
        <v>2559</v>
      </c>
      <c r="E95" s="2621" t="s">
        <v>2560</v>
      </c>
      <c r="F95" s="2621" t="s">
        <v>2561</v>
      </c>
      <c r="G95" s="2621"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5"/>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0" t="s">
        <v>2769</v>
      </c>
      <c r="S1" s="2960" t="s">
        <v>2770</v>
      </c>
      <c r="T1" s="2960" t="s">
        <v>2791</v>
      </c>
      <c r="U1" s="2960" t="s">
        <v>2792</v>
      </c>
      <c r="V1" s="2960" t="s">
        <v>2793</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1.5</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2284</v>
      </c>
      <c r="B4" s="2476" t="e">
        <f>ROUND(B2*10000/F1,0)</f>
        <v>#DIV/0!</v>
      </c>
      <c r="C4" s="1895" t="s">
        <v>2258</v>
      </c>
      <c r="D4" s="1895" t="e">
        <f>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46">
        <f>ROUND(IF(E2="商业",IF(F16="增加",C6+C16,C6-C16)),0)</f>
        <v>0</v>
      </c>
      <c r="E5" s="1417"/>
      <c r="F5" s="1417"/>
      <c r="G5" s="1418"/>
      <c r="H5" s="1418"/>
      <c r="I5" s="1418"/>
      <c r="J5" s="1419"/>
      <c r="K5" s="1595"/>
      <c r="L5" s="1886" t="s">
        <v>2246</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2247</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20"/>
      <c r="AE6" s="1420"/>
      <c r="AF6" s="1420"/>
      <c r="AG6" s="1420"/>
      <c r="AH6" s="1420"/>
      <c r="AI6" s="1420"/>
      <c r="AJ6" s="1421"/>
    </row>
    <row r="7" spans="1:39" ht="24">
      <c r="A7" s="3710" t="str">
        <f>IF(E2="商业",IF(C8="不临58条商业街","",2),"")</f>
        <v/>
      </c>
      <c r="B7" s="1428" t="s">
        <v>933</v>
      </c>
      <c r="C7" s="1043" t="e">
        <f>IF(C8="不临58条商业街",1,ROUND(1+(1.6*E8+1.2*E9+0.8*E10+0.4*E11)*C9,4))</f>
        <v>#DIV/0!</v>
      </c>
      <c r="D7" s="1429" t="s">
        <v>934</v>
      </c>
      <c r="E7" s="1044"/>
      <c r="F7" s="1430"/>
      <c r="G7" s="1431"/>
      <c r="H7" s="1431"/>
      <c r="I7" s="1431"/>
      <c r="J7" s="1432"/>
      <c r="K7" s="1596"/>
      <c r="L7" s="1886" t="s">
        <v>2248</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1.5</v>
      </c>
      <c r="AA7" s="2193"/>
      <c r="AB7" s="2193"/>
      <c r="AC7" s="2194"/>
      <c r="AD7" s="2953"/>
      <c r="AE7" s="2953"/>
      <c r="AF7" s="2953"/>
      <c r="AG7" s="2953"/>
      <c r="AH7" s="2953"/>
      <c r="AI7" s="2953"/>
      <c r="AJ7" s="2954"/>
    </row>
    <row r="8" spans="1:39" ht="15">
      <c r="A8" s="3711"/>
      <c r="B8" s="1415" t="s">
        <v>935</v>
      </c>
      <c r="C8" s="1530"/>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720" t="s">
        <v>2790</v>
      </c>
      <c r="X8" s="3721"/>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711"/>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719" t="s">
        <v>2786</v>
      </c>
      <c r="X9" s="2955" t="s">
        <v>2787</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11"/>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719"/>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11"/>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719" t="s">
        <v>2788</v>
      </c>
      <c r="X11" s="1048" t="s">
        <v>2773</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710"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719"/>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12"/>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1">
        <v>12</v>
      </c>
      <c r="S13" s="2950"/>
      <c r="T13" s="2961" t="e">
        <f t="shared" si="0"/>
        <v>#DIV/0!</v>
      </c>
      <c r="U13" s="2950"/>
      <c r="V13" s="2961" t="e">
        <f t="shared" si="1"/>
        <v>#DIV/0!</v>
      </c>
      <c r="W13" s="3719"/>
      <c r="X13" s="2958"/>
      <c r="Y13" s="2957">
        <f>(-0.163*(Y12^2)-0.59*Y12+7617)*(10^(-4))/Y11</f>
        <v>0.50780000000000003</v>
      </c>
      <c r="Z13" s="2957">
        <f t="shared" ref="Z13:AJ13" si="5">(-0.163*(Z12^2)-0.59*Z12+7617)*(10^(-4))/Z11</f>
        <v>0.50780000000000003</v>
      </c>
      <c r="AA13" s="2957">
        <f t="shared" si="5"/>
        <v>0.50780000000000003</v>
      </c>
      <c r="AB13" s="2957">
        <f t="shared" si="5"/>
        <v>0.50780000000000003</v>
      </c>
      <c r="AC13" s="2957">
        <f t="shared" si="5"/>
        <v>0.50780000000000003</v>
      </c>
      <c r="AD13" s="2957">
        <f t="shared" si="5"/>
        <v>0.50780000000000003</v>
      </c>
      <c r="AE13" s="2957">
        <f t="shared" si="5"/>
        <v>0.50780000000000003</v>
      </c>
      <c r="AF13" s="2957">
        <f t="shared" si="5"/>
        <v>0.50780000000000003</v>
      </c>
      <c r="AG13" s="2957">
        <f t="shared" si="5"/>
        <v>0.50780000000000003</v>
      </c>
      <c r="AH13" s="2957">
        <f t="shared" si="5"/>
        <v>0.50780000000000003</v>
      </c>
      <c r="AI13" s="2957">
        <f t="shared" si="5"/>
        <v>0.50780000000000003</v>
      </c>
      <c r="AJ13" s="2957">
        <f t="shared" si="5"/>
        <v>0.50780000000000003</v>
      </c>
    </row>
    <row r="14" spans="1:39" ht="12.75" customHeight="1" thickBot="1">
      <c r="A14" s="3712"/>
      <c r="B14" s="1452"/>
      <c r="C14" s="1453"/>
      <c r="D14" s="1454"/>
      <c r="E14" s="1454"/>
      <c r="F14" s="1455"/>
      <c r="G14" s="1456" t="s">
        <v>950</v>
      </c>
      <c r="H14" s="1457"/>
      <c r="I14" s="1458"/>
      <c r="J14" s="1459"/>
      <c r="K14" s="1402"/>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713"/>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1">
        <v>14</v>
      </c>
      <c r="S15" s="2950"/>
      <c r="T15" s="2961" t="e">
        <f t="shared" si="0"/>
        <v>#DIV/0!</v>
      </c>
      <c r="U15" s="2950"/>
      <c r="V15" s="2961" t="e">
        <f t="shared" si="1"/>
        <v>#DIV/0!</v>
      </c>
      <c r="W15" s="2190"/>
      <c r="X15" s="2190"/>
      <c r="Y15" s="2190"/>
      <c r="Z15" s="2190"/>
      <c r="AA15" s="2190"/>
      <c r="AB15" s="2190"/>
      <c r="AC15" s="2191"/>
    </row>
    <row r="16" spans="1:39" ht="24">
      <c r="A16" s="3710"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711"/>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6" t="s">
        <v>957</v>
      </c>
      <c r="C18" s="2797">
        <f>SUMIF(修正!C18:C39,E3,修正!E18:E39)</f>
        <v>0</v>
      </c>
      <c r="D18" s="2798"/>
      <c r="E18" s="2799"/>
      <c r="F18" s="2800"/>
      <c r="G18" s="2794"/>
      <c r="H18" s="2794"/>
      <c r="I18" s="2794"/>
      <c r="J18" s="2801"/>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43136</v>
      </c>
      <c r="H19" s="1476" t="s">
        <v>2944</v>
      </c>
      <c r="I19" s="2808" t="str">
        <f>IF(H19="季度增幅（自定义）",SUMIF(N21:N24,E2,O21:O24),"")</f>
        <v/>
      </c>
      <c r="J19" s="1472"/>
      <c r="K19" s="1482"/>
      <c r="L19" s="3062" t="s">
        <v>2848</v>
      </c>
      <c r="M19" s="3063">
        <f>ROUND(SUMIF(地价!B2:F2,E2,地价!B21:F21),0)</f>
        <v>0</v>
      </c>
      <c r="N19" s="2810" t="s">
        <v>1678</v>
      </c>
      <c r="O19" s="2809">
        <f>ROUNDDOWN(DATEDIF(E19,G19,"M")/3,0)</f>
        <v>16</v>
      </c>
      <c r="P19" s="1597"/>
      <c r="R19" s="2949"/>
      <c r="S19" s="2949"/>
      <c r="T19" s="2949"/>
      <c r="U19" s="2949"/>
      <c r="V19" s="2949"/>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2" t="s">
        <v>1838</v>
      </c>
      <c r="B20" s="2803" t="s">
        <v>973</v>
      </c>
      <c r="C20" s="2804" t="e">
        <f>ROUND(POWER(1+G20,J20-I20)*(POWER(1+G20,I20)-1)/(POWER(1+G20,J20)-1),4)</f>
        <v>#DIV/0!</v>
      </c>
      <c r="D20" s="2805" t="s">
        <v>974</v>
      </c>
      <c r="E20" s="3117">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2"/>
      <c r="L20" s="3064" t="s">
        <v>2849</v>
      </c>
      <c r="M20" s="3065">
        <f>ROUND(SUMPRODUCT((地价!A4:A21=YEAR(G19)&amp;"-"&amp;ROUNDUP(MONTH(G19)/3,0))*(地价!B2:F2=E2)*(地价!B4:F21)),0)</f>
        <v>0</v>
      </c>
      <c r="N20" s="2813" t="s">
        <v>2652</v>
      </c>
      <c r="O20" s="2811" t="s">
        <v>2651</v>
      </c>
      <c r="P20" s="2812" t="s">
        <v>2657</v>
      </c>
      <c r="R20" s="2949"/>
      <c r="S20" s="2949"/>
      <c r="T20" s="2949"/>
      <c r="U20" s="2949"/>
      <c r="V20" s="2949"/>
      <c r="W20" s="2196"/>
      <c r="X20" s="2196"/>
      <c r="Y20" s="2196"/>
      <c r="Z20" s="2196"/>
      <c r="AA20" s="2196"/>
      <c r="AB20" s="2196"/>
      <c r="AC20" s="2196"/>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3">
        <f>SUMPRODUCT((地价!A3:A21=YEAR(G19)&amp;"-"&amp;ROUNDUP(MONTH(G19)/3,0))*(地价!AD2:AH2=N21)*(地价!AD3:AH21))</f>
        <v>1.55E-2</v>
      </c>
      <c r="R21" s="2949"/>
      <c r="S21" s="2949"/>
      <c r="T21" s="2949"/>
      <c r="U21" s="2949"/>
      <c r="V21" s="2949"/>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3">
        <f>SUMPRODUCT((地价!A3:A21=YEAR(G19)&amp;"-"&amp;ROUNDUP(MONTH(G19)/3,0))*(地价!AD2:AH2=N22)*(地价!AD3:AH21))</f>
        <v>1.55E-2</v>
      </c>
      <c r="R22" s="2949"/>
      <c r="S22" s="2949"/>
      <c r="T22" s="2949"/>
      <c r="U22" s="2949"/>
      <c r="V22" s="2949"/>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3">
        <f>SUMPRODUCT((地价!A3:A21=YEAR(G19)&amp;"-"&amp;ROUNDUP(MONTH(G19)/3,0))*(地价!AD2:AH2=N23)*(地价!AD3:AH21))</f>
        <v>2.5499999999999998E-2</v>
      </c>
      <c r="R23" s="2949"/>
      <c r="S23" s="2949"/>
      <c r="T23" s="2949"/>
      <c r="U23" s="2949"/>
      <c r="V23" s="2949"/>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49"/>
      <c r="S24" s="2949"/>
      <c r="T24" s="2949"/>
      <c r="U24" s="2949"/>
      <c r="V24" s="2949"/>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1" t="s">
        <v>2655</v>
      </c>
      <c r="O25" s="2196"/>
      <c r="P25" s="1542">
        <f>SUMPRODUCT((地价!A3:A21=YEAR(G19)&amp;"-"&amp;ROUNDUP(MONTH(G19)/3,0))*(地价!AD2:AH2=N25)*(地价!AD3:AH21))</f>
        <v>2.3E-2</v>
      </c>
      <c r="R25" s="2949"/>
      <c r="S25" s="2949"/>
      <c r="T25" s="2949"/>
      <c r="U25" s="2949"/>
      <c r="V25" s="2949"/>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49"/>
      <c r="S26" s="2949"/>
      <c r="T26" s="2949"/>
      <c r="U26" s="2949"/>
      <c r="V26" s="2949"/>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49"/>
      <c r="S27" s="2949"/>
      <c r="T27" s="2949"/>
      <c r="U27" s="2949"/>
      <c r="V27" s="2949"/>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49"/>
      <c r="S28" s="2949"/>
      <c r="T28" s="2949"/>
      <c r="U28" s="2949"/>
      <c r="V28" s="2949"/>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49"/>
      <c r="S29" s="2949"/>
      <c r="T29" s="2949"/>
      <c r="U29" s="2949"/>
      <c r="V29" s="2949"/>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16"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17"/>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17"/>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18"/>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2" t="s">
        <v>1008</v>
      </c>
      <c r="B44" s="2443"/>
      <c r="C44" s="2444"/>
      <c r="D44" s="2445"/>
      <c r="E44" s="2445"/>
      <c r="F44" s="2446"/>
      <c r="G44" s="1066"/>
      <c r="H44" s="2446"/>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7" t="s">
        <v>1009</v>
      </c>
      <c r="B45" s="2448">
        <f>1+E47</f>
        <v>1</v>
      </c>
      <c r="C45" s="2449"/>
      <c r="D45" s="2450"/>
      <c r="E45" s="2451"/>
      <c r="F45" s="2452"/>
      <c r="G45" s="2446"/>
      <c r="H45" s="2446"/>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1" t="s">
        <v>1011</v>
      </c>
      <c r="C46" s="2453" t="s">
        <v>1012</v>
      </c>
      <c r="D46" s="2454" t="s">
        <v>1013</v>
      </c>
      <c r="E46" s="2455" t="s">
        <v>1015</v>
      </c>
      <c r="F46" s="2456" t="s">
        <v>2254</v>
      </c>
      <c r="G46" s="2454" t="s">
        <v>1016</v>
      </c>
      <c r="H46" s="2437" t="s">
        <v>2423</v>
      </c>
      <c r="I46" s="2454" t="s">
        <v>1014</v>
      </c>
      <c r="J46" s="2457" t="s">
        <v>1017</v>
      </c>
      <c r="K46" s="2457" t="s">
        <v>1018</v>
      </c>
      <c r="L46" s="2457" t="s">
        <v>1019</v>
      </c>
      <c r="M46" s="2457" t="s">
        <v>1020</v>
      </c>
      <c r="N46" s="2457"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19" t="s">
        <v>2946</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18" t="s">
        <v>2945</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48">
      <c r="A53" s="2463" t="s">
        <v>1028</v>
      </c>
      <c r="B53" s="2432" t="str">
        <f>估价对象房地状况!C21</f>
        <v>无医院、1公里内八千乡刘店完全小学；1.9公里邮政三农服务站(湾左村卫生所西南)</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24.75" thickBot="1">
      <c r="A55" s="2464" t="s">
        <v>1030</v>
      </c>
      <c r="B55" s="2435" t="str">
        <f>估价对象房地状况!C20</f>
        <v>1.8公里双鹤湖公园、</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7" t="s">
        <v>1031</v>
      </c>
      <c r="B56" s="2448">
        <f>1+E58</f>
        <v>1</v>
      </c>
      <c r="C56" s="2467"/>
      <c r="D56" s="2450"/>
      <c r="E56" s="2451"/>
      <c r="F56" s="2452"/>
      <c r="G56" s="2446"/>
      <c r="H56" s="2446"/>
      <c r="I56" s="2446"/>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1"/>
      <c r="C57" s="2453" t="s">
        <v>1012</v>
      </c>
      <c r="D57" s="2454" t="s">
        <v>1013</v>
      </c>
      <c r="E57" s="2455" t="s">
        <v>1015</v>
      </c>
      <c r="F57" s="2456" t="s">
        <v>2255</v>
      </c>
      <c r="G57" s="2454" t="s">
        <v>1016</v>
      </c>
      <c r="H57" s="2437" t="s">
        <v>2423</v>
      </c>
      <c r="I57" s="2454" t="s">
        <v>1014</v>
      </c>
      <c r="J57" s="2457" t="s">
        <v>1017</v>
      </c>
      <c r="K57" s="2457" t="s">
        <v>1018</v>
      </c>
      <c r="L57" s="2457" t="s">
        <v>1019</v>
      </c>
      <c r="M57" s="2457" t="s">
        <v>1020</v>
      </c>
      <c r="N57" s="2457"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19" t="s">
        <v>2947</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18" t="s">
        <v>2945</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48">
      <c r="A64" s="1067" t="s">
        <v>1028</v>
      </c>
      <c r="B64" s="2432" t="str">
        <f>估价对象房地状况!C21</f>
        <v>无医院、1公里内八千乡刘店完全小学；1.9公里邮政三农服务站(湾左村卫生所西南)</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24.75" thickBot="1">
      <c r="A66" s="2464" t="s">
        <v>1030</v>
      </c>
      <c r="B66" s="2436" t="str">
        <f>估价对象房地状况!C20</f>
        <v>1.8公里双鹤湖公园、</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7" t="s">
        <v>1033</v>
      </c>
      <c r="B67" s="2448">
        <f>1+E69</f>
        <v>1</v>
      </c>
      <c r="C67" s="2467"/>
      <c r="D67" s="2450"/>
      <c r="E67" s="2451"/>
      <c r="F67" s="2452"/>
      <c r="G67" s="2446"/>
      <c r="H67" s="2446"/>
      <c r="I67" s="2446"/>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1"/>
      <c r="C68" s="2453" t="s">
        <v>1012</v>
      </c>
      <c r="D68" s="2454" t="s">
        <v>1013</v>
      </c>
      <c r="E68" s="2455" t="s">
        <v>1015</v>
      </c>
      <c r="F68" s="2456" t="s">
        <v>2256</v>
      </c>
      <c r="G68" s="2454" t="s">
        <v>1016</v>
      </c>
      <c r="H68" s="2437" t="s">
        <v>2423</v>
      </c>
      <c r="I68" s="2454" t="s">
        <v>1014</v>
      </c>
      <c r="J68" s="2457" t="s">
        <v>1017</v>
      </c>
      <c r="K68" s="2457" t="s">
        <v>1018</v>
      </c>
      <c r="L68" s="2457" t="s">
        <v>1019</v>
      </c>
      <c r="M68" s="2457" t="s">
        <v>1020</v>
      </c>
      <c r="N68" s="2457"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24">
      <c r="A69" s="1067" t="s">
        <v>1034</v>
      </c>
      <c r="B69" s="2434" t="str">
        <f>估价对象房地状况!C15</f>
        <v>3.7公里 绿地香湖湾</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48">
      <c r="A73" s="1067" t="s">
        <v>1028</v>
      </c>
      <c r="B73" s="2432" t="str">
        <f>估价对象房地状况!C21</f>
        <v>无医院、1公里内八千乡刘店完全小学；1.9公里邮政三农服务站(湾左村卫生所西南)</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18" t="s">
        <v>2945</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24">
      <c r="A76" s="1067" t="s">
        <v>1030</v>
      </c>
      <c r="B76" s="2434" t="str">
        <f>估价对象房地状况!C20</f>
        <v>1.8公里双鹤湖公园、</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4" t="s">
        <v>1037</v>
      </c>
      <c r="B77" s="1851"/>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6"/>
      <c r="AD77" s="1405"/>
      <c r="AJ77" s="1404"/>
      <c r="AN77" s="1405"/>
    </row>
    <row r="78" spans="1:40" ht="15">
      <c r="A78" s="2447" t="s">
        <v>1038</v>
      </c>
      <c r="B78" s="2448">
        <f>1+E80</f>
        <v>1</v>
      </c>
      <c r="C78" s="2467"/>
      <c r="D78" s="2450"/>
      <c r="E78" s="2451"/>
      <c r="F78" s="2452"/>
      <c r="G78" s="2446"/>
      <c r="H78" s="2446"/>
      <c r="I78" s="2446"/>
      <c r="J78" s="1066"/>
      <c r="K78" s="1066"/>
      <c r="L78" s="1066"/>
      <c r="M78" s="1066"/>
      <c r="N78" s="1066"/>
      <c r="AC78" s="1406"/>
      <c r="AD78" s="1405"/>
      <c r="AJ78" s="1404"/>
      <c r="AN78" s="1405"/>
    </row>
    <row r="79" spans="1:40" ht="24">
      <c r="A79" s="1067" t="s">
        <v>1010</v>
      </c>
      <c r="B79" s="2431"/>
      <c r="C79" s="2453" t="s">
        <v>1012</v>
      </c>
      <c r="D79" s="2454" t="s">
        <v>1013</v>
      </c>
      <c r="E79" s="2455" t="s">
        <v>1015</v>
      </c>
      <c r="F79" s="2456" t="s">
        <v>2257</v>
      </c>
      <c r="G79" s="2454" t="s">
        <v>1016</v>
      </c>
      <c r="H79" s="2437" t="s">
        <v>2423</v>
      </c>
      <c r="I79" s="2454" t="s">
        <v>1014</v>
      </c>
      <c r="J79" s="2457" t="s">
        <v>1017</v>
      </c>
      <c r="K79" s="2457" t="s">
        <v>1018</v>
      </c>
      <c r="L79" s="2457" t="s">
        <v>1019</v>
      </c>
      <c r="M79" s="2457" t="s">
        <v>1020</v>
      </c>
      <c r="N79" s="2457" t="s">
        <v>1021</v>
      </c>
      <c r="AC79" s="1406"/>
      <c r="AD79" s="1405"/>
      <c r="AJ79" s="1404"/>
      <c r="AN79" s="1405"/>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6"/>
      <c r="AD80" s="1405"/>
      <c r="AJ80" s="1404"/>
      <c r="AN80" s="1405"/>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6"/>
      <c r="AD81" s="1405"/>
      <c r="AJ81" s="1404"/>
      <c r="AN81" s="1405"/>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6"/>
      <c r="AD82" s="1405"/>
      <c r="AJ82" s="1404"/>
      <c r="AN82" s="1405"/>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6"/>
      <c r="AD83" s="1405"/>
      <c r="AJ83" s="1404"/>
      <c r="AN83" s="1405"/>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6"/>
      <c r="AD84" s="1405"/>
      <c r="AJ84" s="1404"/>
      <c r="AN84" s="1405"/>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6"/>
      <c r="AD85" s="1405"/>
      <c r="AJ85" s="1404"/>
      <c r="AN85" s="1405"/>
    </row>
    <row r="86" spans="1:40" ht="24">
      <c r="A86" s="1067" t="s">
        <v>1027</v>
      </c>
      <c r="B86" s="3118" t="s">
        <v>2945</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6"/>
      <c r="AD86" s="1405"/>
      <c r="AJ86" s="1404"/>
      <c r="AN86" s="1405"/>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6"/>
      <c r="AD87" s="1405"/>
      <c r="AJ87" s="1404"/>
      <c r="AN87" s="1405"/>
    </row>
    <row r="90" spans="1:40">
      <c r="A90" s="3714" t="s">
        <v>1635</v>
      </c>
      <c r="B90" s="3714"/>
      <c r="C90" s="3714"/>
      <c r="D90" s="3714"/>
      <c r="E90" s="3714"/>
      <c r="F90" s="3714"/>
      <c r="G90" s="3714"/>
      <c r="H90" s="3714"/>
      <c r="I90" s="3714"/>
      <c r="J90" s="3714"/>
      <c r="K90" s="2473"/>
      <c r="L90" s="2473"/>
      <c r="M90" s="2473"/>
      <c r="N90" s="2473"/>
    </row>
    <row r="91" spans="1:40">
      <c r="A91" s="3715" t="s">
        <v>1445</v>
      </c>
      <c r="B91" s="3715" t="s">
        <v>1636</v>
      </c>
      <c r="C91" s="1140" t="s">
        <v>1637</v>
      </c>
      <c r="D91" s="1141"/>
      <c r="E91" s="1141"/>
      <c r="F91" s="1141"/>
      <c r="G91" s="1141"/>
      <c r="H91" s="1141"/>
      <c r="I91" s="1141"/>
      <c r="J91" s="1142"/>
      <c r="K91" s="1134"/>
      <c r="L91" s="1134"/>
      <c r="M91" s="1134"/>
      <c r="N91" s="1134"/>
    </row>
    <row r="92" spans="1:40">
      <c r="A92" s="3715"/>
      <c r="B92" s="3715"/>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722"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2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2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2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2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2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23"/>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2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22" t="s">
        <v>1639</v>
      </c>
      <c r="B101" s="1147" t="s">
        <v>907</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723"/>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723"/>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723"/>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723"/>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723"/>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723"/>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723"/>
      <c r="B108" s="3725"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24"/>
      <c r="B109" s="3726"/>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709" t="s">
        <v>1641</v>
      </c>
      <c r="B110" s="3709"/>
      <c r="C110" s="3709"/>
      <c r="D110" s="3709"/>
      <c r="E110" s="3709"/>
      <c r="F110" s="3709"/>
      <c r="G110" s="3709"/>
      <c r="H110" s="3709"/>
      <c r="I110" s="3709"/>
      <c r="J110" s="3709"/>
      <c r="K110" s="2471"/>
      <c r="L110" s="2471"/>
      <c r="M110" s="2471"/>
      <c r="N110" s="2471"/>
    </row>
    <row r="112" spans="1:14" ht="12.75" thickBot="1"/>
    <row r="113" spans="1:13" ht="25.5" thickBot="1">
      <c r="A113" s="1016" t="s">
        <v>897</v>
      </c>
      <c r="B113" s="2474">
        <f>G3</f>
        <v>1.5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902</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903</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904</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15" t="s">
        <v>1009</v>
      </c>
      <c r="B18" s="1154" t="s">
        <v>1448</v>
      </c>
      <c r="C18" s="1131" t="s">
        <v>1449</v>
      </c>
      <c r="D18" s="1132"/>
      <c r="E18" s="1154">
        <v>1</v>
      </c>
      <c r="F18" s="1133" t="s">
        <v>1450</v>
      </c>
      <c r="G18" s="1134"/>
      <c r="H18" s="1105"/>
      <c r="I18" s="1105"/>
    </row>
    <row r="19" spans="1:9" s="1600" customFormat="1" ht="19.5" customHeight="1">
      <c r="A19" s="3715"/>
      <c r="B19" s="3715" t="s">
        <v>1451</v>
      </c>
      <c r="C19" s="1131" t="s">
        <v>1452</v>
      </c>
      <c r="D19" s="1132"/>
      <c r="E19" s="1154">
        <v>0.9</v>
      </c>
      <c r="F19" s="1133" t="s">
        <v>1453</v>
      </c>
      <c r="G19" s="1134"/>
      <c r="H19" s="1105"/>
      <c r="I19" s="1105"/>
    </row>
    <row r="20" spans="1:9" s="1600" customFormat="1" ht="19.5" customHeight="1">
      <c r="A20" s="3715"/>
      <c r="B20" s="3715"/>
      <c r="C20" s="1131" t="s">
        <v>1454</v>
      </c>
      <c r="D20" s="1132"/>
      <c r="E20" s="1154">
        <v>1.1000000000000001</v>
      </c>
      <c r="F20" s="1133" t="s">
        <v>1455</v>
      </c>
      <c r="G20" s="1134"/>
      <c r="H20" s="1105"/>
      <c r="I20" s="1105"/>
    </row>
    <row r="21" spans="1:9" s="1600" customFormat="1" ht="19.5" customHeight="1">
      <c r="A21" s="3715"/>
      <c r="B21" s="3715"/>
      <c r="C21" s="1131" t="s">
        <v>1456</v>
      </c>
      <c r="D21" s="1132"/>
      <c r="E21" s="1154">
        <v>0.8</v>
      </c>
      <c r="F21" s="1133" t="s">
        <v>1457</v>
      </c>
      <c r="G21" s="1134"/>
      <c r="H21" s="1105"/>
      <c r="I21" s="1105"/>
    </row>
    <row r="22" spans="1:9" s="1600" customFormat="1" ht="19.5" customHeight="1">
      <c r="A22" s="3715"/>
      <c r="B22" s="3715"/>
      <c r="C22" s="1131" t="s">
        <v>1458</v>
      </c>
      <c r="D22" s="1132"/>
      <c r="E22" s="1154">
        <v>0.5</v>
      </c>
      <c r="F22" s="1133"/>
      <c r="G22" s="1134"/>
      <c r="H22" s="1105"/>
      <c r="I22" s="1105"/>
    </row>
    <row r="23" spans="1:9" s="1600" customFormat="1" ht="19.5" customHeight="1">
      <c r="A23" s="3715" t="s">
        <v>1031</v>
      </c>
      <c r="B23" s="1154" t="s">
        <v>1448</v>
      </c>
      <c r="C23" s="1131" t="s">
        <v>1459</v>
      </c>
      <c r="D23" s="1132"/>
      <c r="E23" s="1154">
        <v>1</v>
      </c>
      <c r="F23" s="1133" t="s">
        <v>1460</v>
      </c>
      <c r="G23" s="1134"/>
      <c r="H23" s="1105"/>
      <c r="I23" s="1105"/>
    </row>
    <row r="24" spans="1:9" s="1600" customFormat="1" ht="19.5" customHeight="1">
      <c r="A24" s="3715"/>
      <c r="B24" s="3715" t="s">
        <v>1451</v>
      </c>
      <c r="C24" s="1131" t="s">
        <v>1461</v>
      </c>
      <c r="D24" s="1132"/>
      <c r="E24" s="1154">
        <v>0.5</v>
      </c>
      <c r="F24" s="1133"/>
      <c r="G24" s="1134"/>
      <c r="H24" s="1105"/>
      <c r="I24" s="1105"/>
    </row>
    <row r="25" spans="1:9" s="1600" customFormat="1" ht="19.5" customHeight="1">
      <c r="A25" s="3715"/>
      <c r="B25" s="3715"/>
      <c r="C25" s="1131" t="s">
        <v>1462</v>
      </c>
      <c r="D25" s="1132"/>
      <c r="E25" s="1154">
        <v>1.1000000000000001</v>
      </c>
      <c r="F25" s="1133"/>
      <c r="G25" s="1134"/>
      <c r="H25" s="1105"/>
      <c r="I25" s="1105"/>
    </row>
    <row r="26" spans="1:9" s="1600" customFormat="1" ht="19.5" customHeight="1">
      <c r="A26" s="3715"/>
      <c r="B26" s="3715"/>
      <c r="C26" s="1131" t="s">
        <v>1463</v>
      </c>
      <c r="D26" s="1132"/>
      <c r="E26" s="1154">
        <v>1.1000000000000001</v>
      </c>
      <c r="F26" s="1133"/>
      <c r="G26" s="1134"/>
      <c r="H26" s="1105"/>
      <c r="I26" s="1105"/>
    </row>
    <row r="27" spans="1:9" s="1600" customFormat="1" ht="19.5" customHeight="1">
      <c r="A27" s="3715"/>
      <c r="B27" s="3715"/>
      <c r="C27" s="1131" t="s">
        <v>1464</v>
      </c>
      <c r="D27" s="1132"/>
      <c r="E27" s="1154">
        <v>0.9</v>
      </c>
      <c r="F27" s="1133" t="s">
        <v>1465</v>
      </c>
      <c r="G27" s="1134"/>
      <c r="H27" s="1105"/>
      <c r="I27" s="1105"/>
    </row>
    <row r="28" spans="1:9" s="1600" customFormat="1" ht="19.5" customHeight="1">
      <c r="A28" s="3715"/>
      <c r="B28" s="3715"/>
      <c r="C28" s="1131" t="s">
        <v>1466</v>
      </c>
      <c r="D28" s="1132"/>
      <c r="E28" s="1154">
        <v>0.9</v>
      </c>
      <c r="F28" s="1133" t="s">
        <v>1467</v>
      </c>
      <c r="G28" s="1134"/>
      <c r="H28" s="1105"/>
      <c r="I28" s="1105"/>
    </row>
    <row r="29" spans="1:9" s="1600" customFormat="1" ht="19.5" customHeight="1">
      <c r="A29" s="3715"/>
      <c r="B29" s="3715"/>
      <c r="C29" s="1131" t="s">
        <v>1468</v>
      </c>
      <c r="D29" s="1132"/>
      <c r="E29" s="1154">
        <v>0.9</v>
      </c>
      <c r="F29" s="1133" t="s">
        <v>1469</v>
      </c>
      <c r="G29" s="1134"/>
      <c r="H29" s="1105"/>
      <c r="I29" s="1105"/>
    </row>
    <row r="30" spans="1:9" s="1600" customFormat="1" ht="19.5" customHeight="1">
      <c r="A30" s="3715"/>
      <c r="B30" s="3715"/>
      <c r="C30" s="1131" t="s">
        <v>1470</v>
      </c>
      <c r="D30" s="1132"/>
      <c r="E30" s="1154">
        <v>0.9</v>
      </c>
      <c r="F30" s="1133" t="s">
        <v>1471</v>
      </c>
      <c r="G30" s="1134"/>
      <c r="H30" s="1105"/>
      <c r="I30" s="1105"/>
    </row>
    <row r="31" spans="1:9" s="1600" customFormat="1" ht="19.5" customHeight="1">
      <c r="A31" s="3715"/>
      <c r="B31" s="3715"/>
      <c r="C31" s="1131" t="s">
        <v>1472</v>
      </c>
      <c r="D31" s="1132"/>
      <c r="E31" s="1154">
        <v>0.8</v>
      </c>
      <c r="F31" s="1133" t="s">
        <v>1473</v>
      </c>
      <c r="G31" s="1134"/>
      <c r="H31" s="1105"/>
      <c r="I31" s="1105"/>
    </row>
    <row r="32" spans="1:9" s="1600" customFormat="1" ht="19.5" customHeight="1">
      <c r="A32" s="3715"/>
      <c r="B32" s="3715"/>
      <c r="C32" s="1131" t="s">
        <v>1474</v>
      </c>
      <c r="D32" s="1132"/>
      <c r="E32" s="1154">
        <v>0.8</v>
      </c>
      <c r="F32" s="1133" t="s">
        <v>1475</v>
      </c>
      <c r="G32" s="1134"/>
      <c r="H32" s="1105"/>
      <c r="I32" s="1105"/>
    </row>
    <row r="33" spans="1:9" s="1600" customFormat="1" ht="19.5" customHeight="1">
      <c r="A33" s="3715" t="s">
        <v>1476</v>
      </c>
      <c r="B33" s="1154" t="s">
        <v>1448</v>
      </c>
      <c r="C33" s="1131" t="s">
        <v>1477</v>
      </c>
      <c r="D33" s="1132"/>
      <c r="E33" s="1154">
        <v>1</v>
      </c>
      <c r="F33" s="1133" t="s">
        <v>1478</v>
      </c>
      <c r="G33" s="1134"/>
      <c r="H33" s="1105"/>
      <c r="I33" s="1105"/>
    </row>
    <row r="34" spans="1:9" s="1600" customFormat="1" ht="19.5" customHeight="1">
      <c r="A34" s="3715"/>
      <c r="B34" s="1154" t="s">
        <v>1451</v>
      </c>
      <c r="C34" s="1131" t="s">
        <v>1479</v>
      </c>
      <c r="D34" s="1132"/>
      <c r="E34" s="1154">
        <v>1.5</v>
      </c>
      <c r="F34" s="1133" t="s">
        <v>1480</v>
      </c>
      <c r="G34" s="1134"/>
      <c r="H34" s="1105"/>
      <c r="I34" s="1105"/>
    </row>
    <row r="35" spans="1:9" s="1600" customFormat="1" ht="19.5" customHeight="1">
      <c r="A35" s="3715" t="s">
        <v>1434</v>
      </c>
      <c r="B35" s="1154" t="s">
        <v>1448</v>
      </c>
      <c r="C35" s="1131" t="s">
        <v>1481</v>
      </c>
      <c r="D35" s="1132"/>
      <c r="E35" s="1154">
        <v>1</v>
      </c>
      <c r="F35" s="1133" t="s">
        <v>1482</v>
      </c>
      <c r="G35" s="1134"/>
      <c r="H35" s="1105"/>
      <c r="I35" s="1105"/>
    </row>
    <row r="36" spans="1:9" s="1600" customFormat="1" ht="19.5" customHeight="1">
      <c r="A36" s="3715"/>
      <c r="B36" s="3715" t="s">
        <v>1451</v>
      </c>
      <c r="C36" s="1131" t="s">
        <v>1483</v>
      </c>
      <c r="D36" s="1132"/>
      <c r="E36" s="1154">
        <v>1</v>
      </c>
      <c r="F36" s="1133" t="s">
        <v>1484</v>
      </c>
      <c r="G36" s="1134"/>
      <c r="H36" s="1105"/>
      <c r="I36" s="1105"/>
    </row>
    <row r="37" spans="1:9" s="1600" customFormat="1" ht="19.5" customHeight="1">
      <c r="A37" s="3715"/>
      <c r="B37" s="3715"/>
      <c r="C37" s="1131" t="s">
        <v>1485</v>
      </c>
      <c r="D37" s="1132"/>
      <c r="E37" s="1154">
        <v>1.5</v>
      </c>
      <c r="F37" s="1133" t="s">
        <v>1486</v>
      </c>
      <c r="G37" s="1134"/>
      <c r="H37" s="1105"/>
      <c r="I37" s="1105"/>
    </row>
    <row r="38" spans="1:9" s="1600" customFormat="1" ht="19.5" customHeight="1">
      <c r="A38" s="3715"/>
      <c r="B38" s="3715"/>
      <c r="C38" s="1131" t="s">
        <v>1487</v>
      </c>
      <c r="D38" s="1132"/>
      <c r="E38" s="1154">
        <v>1</v>
      </c>
      <c r="F38" s="1133" t="s">
        <v>1488</v>
      </c>
      <c r="G38" s="1134"/>
      <c r="H38" s="1105"/>
      <c r="I38" s="1105"/>
    </row>
    <row r="39" spans="1:9" s="1600" customFormat="1" ht="19.5" customHeight="1">
      <c r="A39" s="3715"/>
      <c r="B39" s="3715"/>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15" t="s">
        <v>1503</v>
      </c>
      <c r="C61" s="1068" t="s">
        <v>1504</v>
      </c>
      <c r="D61" s="1068" t="s">
        <v>1505</v>
      </c>
      <c r="E61" s="1139">
        <v>0.5</v>
      </c>
      <c r="F61" s="1154">
        <v>80</v>
      </c>
      <c r="H61" s="1105">
        <f>SUMIF(C59:C119,基准地价!C8,E59:E119)</f>
        <v>0</v>
      </c>
    </row>
    <row r="62" spans="1:8" s="1105" customFormat="1" ht="24">
      <c r="A62" s="1154">
        <v>2</v>
      </c>
      <c r="B62" s="3715"/>
      <c r="C62" s="1068" t="s">
        <v>1506</v>
      </c>
      <c r="D62" s="1068" t="s">
        <v>1507</v>
      </c>
      <c r="E62" s="1139">
        <v>0.5</v>
      </c>
      <c r="F62" s="1154">
        <v>80</v>
      </c>
    </row>
    <row r="63" spans="1:8" s="1105" customFormat="1" ht="36">
      <c r="A63" s="1154">
        <v>3</v>
      </c>
      <c r="B63" s="3715"/>
      <c r="C63" s="1068" t="s">
        <v>1508</v>
      </c>
      <c r="D63" s="1068" t="s">
        <v>1509</v>
      </c>
      <c r="E63" s="1139">
        <v>0.5</v>
      </c>
      <c r="F63" s="1154">
        <v>80</v>
      </c>
    </row>
    <row r="64" spans="1:8" s="1105" customFormat="1" ht="36">
      <c r="A64" s="1154">
        <v>4</v>
      </c>
      <c r="B64" s="3715"/>
      <c r="C64" s="1068" t="s">
        <v>1510</v>
      </c>
      <c r="D64" s="1068" t="s">
        <v>1511</v>
      </c>
      <c r="E64" s="1139">
        <v>0.4</v>
      </c>
      <c r="F64" s="1154">
        <v>60</v>
      </c>
    </row>
    <row r="65" spans="1:6" s="1105" customFormat="1" ht="36">
      <c r="A65" s="1154">
        <v>5</v>
      </c>
      <c r="B65" s="3715"/>
      <c r="C65" s="1068" t="s">
        <v>1512</v>
      </c>
      <c r="D65" s="1068" t="s">
        <v>1513</v>
      </c>
      <c r="E65" s="1139">
        <v>0.2</v>
      </c>
      <c r="F65" s="1154">
        <v>30</v>
      </c>
    </row>
    <row r="66" spans="1:6" s="1105" customFormat="1" ht="36">
      <c r="A66" s="1154">
        <v>6</v>
      </c>
      <c r="B66" s="3715"/>
      <c r="C66" s="1068" t="s">
        <v>1514</v>
      </c>
      <c r="D66" s="1068" t="s">
        <v>1515</v>
      </c>
      <c r="E66" s="1139">
        <v>0.3</v>
      </c>
      <c r="F66" s="1154">
        <v>50</v>
      </c>
    </row>
    <row r="67" spans="1:6" s="1105" customFormat="1" ht="36">
      <c r="A67" s="1154">
        <v>7</v>
      </c>
      <c r="B67" s="3715"/>
      <c r="C67" s="1068" t="s">
        <v>1516</v>
      </c>
      <c r="D67" s="1068" t="s">
        <v>1517</v>
      </c>
      <c r="E67" s="1139">
        <v>0.2</v>
      </c>
      <c r="F67" s="1154">
        <v>30</v>
      </c>
    </row>
    <row r="68" spans="1:6" s="1105" customFormat="1" ht="36">
      <c r="A68" s="1154">
        <v>8</v>
      </c>
      <c r="B68" s="3715"/>
      <c r="C68" s="1068" t="s">
        <v>1518</v>
      </c>
      <c r="D68" s="1068" t="s">
        <v>1519</v>
      </c>
      <c r="E68" s="1139">
        <v>0.2</v>
      </c>
      <c r="F68" s="1154">
        <v>30</v>
      </c>
    </row>
    <row r="69" spans="1:6" s="1105" customFormat="1" ht="36">
      <c r="A69" s="1154">
        <v>9</v>
      </c>
      <c r="B69" s="3715"/>
      <c r="C69" s="1068" t="s">
        <v>1520</v>
      </c>
      <c r="D69" s="1068" t="s">
        <v>1521</v>
      </c>
      <c r="E69" s="1139">
        <v>0.2</v>
      </c>
      <c r="F69" s="1154">
        <v>30</v>
      </c>
    </row>
    <row r="70" spans="1:6" s="1105" customFormat="1" ht="48">
      <c r="A70" s="1154">
        <v>10</v>
      </c>
      <c r="B70" s="3715"/>
      <c r="C70" s="1068" t="s">
        <v>1522</v>
      </c>
      <c r="D70" s="1068" t="s">
        <v>1523</v>
      </c>
      <c r="E70" s="1139">
        <v>0.2</v>
      </c>
      <c r="F70" s="1154">
        <v>30</v>
      </c>
    </row>
    <row r="71" spans="1:6" s="1105" customFormat="1" ht="48">
      <c r="A71" s="1154">
        <v>11</v>
      </c>
      <c r="B71" s="3715"/>
      <c r="C71" s="1068" t="s">
        <v>1524</v>
      </c>
      <c r="D71" s="1068" t="s">
        <v>1525</v>
      </c>
      <c r="E71" s="1139">
        <v>0.2</v>
      </c>
      <c r="F71" s="1154">
        <v>30</v>
      </c>
    </row>
    <row r="72" spans="1:6" s="1105" customFormat="1" ht="36">
      <c r="A72" s="1154">
        <v>12</v>
      </c>
      <c r="B72" s="3715"/>
      <c r="C72" s="1068" t="s">
        <v>1526</v>
      </c>
      <c r="D72" s="1068" t="s">
        <v>1527</v>
      </c>
      <c r="E72" s="1139">
        <v>0.5</v>
      </c>
      <c r="F72" s="1154">
        <v>80</v>
      </c>
    </row>
    <row r="73" spans="1:6" s="1105" customFormat="1" ht="24">
      <c r="A73" s="1154">
        <v>13</v>
      </c>
      <c r="B73" s="3715"/>
      <c r="C73" s="1068" t="s">
        <v>1528</v>
      </c>
      <c r="D73" s="1068" t="s">
        <v>1529</v>
      </c>
      <c r="E73" s="1139">
        <v>0.4</v>
      </c>
      <c r="F73" s="1154">
        <v>60</v>
      </c>
    </row>
    <row r="74" spans="1:6" s="1105" customFormat="1" ht="24">
      <c r="A74" s="1154">
        <v>14</v>
      </c>
      <c r="B74" s="3715"/>
      <c r="C74" s="1068" t="s">
        <v>1530</v>
      </c>
      <c r="D74" s="1068" t="s">
        <v>1531</v>
      </c>
      <c r="E74" s="1139">
        <v>0.2</v>
      </c>
      <c r="F74" s="1154">
        <v>30</v>
      </c>
    </row>
    <row r="75" spans="1:6" s="1105" customFormat="1" ht="24">
      <c r="A75" s="1154">
        <v>15</v>
      </c>
      <c r="B75" s="3715"/>
      <c r="C75" s="1068" t="s">
        <v>1532</v>
      </c>
      <c r="D75" s="1068" t="s">
        <v>1533</v>
      </c>
      <c r="E75" s="1139">
        <v>0.2</v>
      </c>
      <c r="F75" s="1154">
        <v>30</v>
      </c>
    </row>
    <row r="76" spans="1:6" s="1105" customFormat="1" ht="24">
      <c r="A76" s="1154">
        <v>16</v>
      </c>
      <c r="B76" s="3715" t="s">
        <v>1534</v>
      </c>
      <c r="C76" s="1068" t="s">
        <v>1535</v>
      </c>
      <c r="D76" s="1068" t="s">
        <v>1536</v>
      </c>
      <c r="E76" s="1139">
        <v>0.5</v>
      </c>
      <c r="F76" s="1154">
        <v>80</v>
      </c>
    </row>
    <row r="77" spans="1:6" s="1105" customFormat="1" ht="24">
      <c r="A77" s="1154">
        <v>17</v>
      </c>
      <c r="B77" s="3715"/>
      <c r="C77" s="1068" t="s">
        <v>1537</v>
      </c>
      <c r="D77" s="1068" t="s">
        <v>1538</v>
      </c>
      <c r="E77" s="1139">
        <v>0.5</v>
      </c>
      <c r="F77" s="1154">
        <v>80</v>
      </c>
    </row>
    <row r="78" spans="1:6" s="1105" customFormat="1" ht="24">
      <c r="A78" s="1154">
        <v>18</v>
      </c>
      <c r="B78" s="3715"/>
      <c r="C78" s="1068" t="s">
        <v>1539</v>
      </c>
      <c r="D78" s="1068" t="s">
        <v>1540</v>
      </c>
      <c r="E78" s="1139">
        <v>0.2</v>
      </c>
      <c r="F78" s="1154">
        <v>30</v>
      </c>
    </row>
    <row r="79" spans="1:6" s="1105" customFormat="1" ht="24">
      <c r="A79" s="1154">
        <v>19</v>
      </c>
      <c r="B79" s="3715"/>
      <c r="C79" s="1068" t="s">
        <v>1541</v>
      </c>
      <c r="D79" s="1068" t="s">
        <v>1542</v>
      </c>
      <c r="E79" s="1139">
        <v>0.5</v>
      </c>
      <c r="F79" s="1154">
        <v>80</v>
      </c>
    </row>
    <row r="80" spans="1:6" s="1105" customFormat="1" ht="36">
      <c r="A80" s="1154">
        <v>20</v>
      </c>
      <c r="B80" s="3715"/>
      <c r="C80" s="1068" t="s">
        <v>1543</v>
      </c>
      <c r="D80" s="1068" t="s">
        <v>1544</v>
      </c>
      <c r="E80" s="1139">
        <v>0.2</v>
      </c>
      <c r="F80" s="1154">
        <v>30</v>
      </c>
    </row>
    <row r="81" spans="1:6" s="1105" customFormat="1" ht="36">
      <c r="A81" s="1154">
        <v>21</v>
      </c>
      <c r="B81" s="3715"/>
      <c r="C81" s="1068" t="s">
        <v>1545</v>
      </c>
      <c r="D81" s="1068" t="s">
        <v>1546</v>
      </c>
      <c r="E81" s="1139">
        <v>0.2</v>
      </c>
      <c r="F81" s="1154">
        <v>30</v>
      </c>
    </row>
    <row r="82" spans="1:6" s="1105" customFormat="1" ht="48">
      <c r="A82" s="1154">
        <v>22</v>
      </c>
      <c r="B82" s="3715"/>
      <c r="C82" s="1068" t="s">
        <v>1547</v>
      </c>
      <c r="D82" s="1068" t="s">
        <v>1548</v>
      </c>
      <c r="E82" s="1139">
        <v>0.2</v>
      </c>
      <c r="F82" s="1154">
        <v>30</v>
      </c>
    </row>
    <row r="83" spans="1:6" s="1105" customFormat="1" ht="48">
      <c r="A83" s="1154">
        <v>23</v>
      </c>
      <c r="B83" s="3715"/>
      <c r="C83" s="1068" t="s">
        <v>1549</v>
      </c>
      <c r="D83" s="1068" t="s">
        <v>1550</v>
      </c>
      <c r="E83" s="1139">
        <v>0.2</v>
      </c>
      <c r="F83" s="1154">
        <v>30</v>
      </c>
    </row>
    <row r="84" spans="1:6" s="1105" customFormat="1" ht="36">
      <c r="A84" s="1154">
        <v>24</v>
      </c>
      <c r="B84" s="3715"/>
      <c r="C84" s="1068" t="s">
        <v>1551</v>
      </c>
      <c r="D84" s="1068" t="s">
        <v>1552</v>
      </c>
      <c r="E84" s="1139">
        <v>0.2</v>
      </c>
      <c r="F84" s="1154">
        <v>30</v>
      </c>
    </row>
    <row r="85" spans="1:6" s="1105" customFormat="1" ht="36">
      <c r="A85" s="1154">
        <v>25</v>
      </c>
      <c r="B85" s="3715"/>
      <c r="C85" s="1068" t="s">
        <v>1553</v>
      </c>
      <c r="D85" s="1068" t="s">
        <v>1554</v>
      </c>
      <c r="E85" s="1139">
        <v>0.5</v>
      </c>
      <c r="F85" s="1154">
        <v>80</v>
      </c>
    </row>
    <row r="86" spans="1:6" s="1105" customFormat="1" ht="36">
      <c r="A86" s="1154">
        <v>26</v>
      </c>
      <c r="B86" s="3715"/>
      <c r="C86" s="1068" t="s">
        <v>1555</v>
      </c>
      <c r="D86" s="1068" t="s">
        <v>1556</v>
      </c>
      <c r="E86" s="1139">
        <v>0.2</v>
      </c>
      <c r="F86" s="1154">
        <v>30</v>
      </c>
    </row>
    <row r="87" spans="1:6" s="1105" customFormat="1" ht="36">
      <c r="A87" s="1154">
        <v>27</v>
      </c>
      <c r="B87" s="3715"/>
      <c r="C87" s="1068" t="s">
        <v>1557</v>
      </c>
      <c r="D87" s="1068" t="s">
        <v>1558</v>
      </c>
      <c r="E87" s="1139">
        <v>0.2</v>
      </c>
      <c r="F87" s="1154">
        <v>30</v>
      </c>
    </row>
    <row r="88" spans="1:6" s="1105" customFormat="1" ht="36">
      <c r="A88" s="1154">
        <v>28</v>
      </c>
      <c r="B88" s="3715"/>
      <c r="C88" s="1068" t="s">
        <v>1559</v>
      </c>
      <c r="D88" s="1068" t="s">
        <v>1560</v>
      </c>
      <c r="E88" s="1139">
        <v>0.2</v>
      </c>
      <c r="F88" s="1154">
        <v>30</v>
      </c>
    </row>
    <row r="89" spans="1:6" s="1105" customFormat="1" ht="24">
      <c r="A89" s="1154">
        <v>29</v>
      </c>
      <c r="B89" s="3715"/>
      <c r="C89" s="1068" t="s">
        <v>1561</v>
      </c>
      <c r="D89" s="1068" t="s">
        <v>1562</v>
      </c>
      <c r="E89" s="1139">
        <v>0.2</v>
      </c>
      <c r="F89" s="1154">
        <v>30</v>
      </c>
    </row>
    <row r="90" spans="1:6" s="1105" customFormat="1" ht="24">
      <c r="A90" s="1154">
        <v>30</v>
      </c>
      <c r="B90" s="3715"/>
      <c r="C90" s="1068" t="s">
        <v>1563</v>
      </c>
      <c r="D90" s="1068" t="s">
        <v>1564</v>
      </c>
      <c r="E90" s="1139">
        <v>0.2</v>
      </c>
      <c r="F90" s="1154">
        <v>30</v>
      </c>
    </row>
    <row r="91" spans="1:6" s="1105" customFormat="1" ht="36">
      <c r="A91" s="1154">
        <v>31</v>
      </c>
      <c r="B91" s="3715"/>
      <c r="C91" s="1068" t="s">
        <v>1565</v>
      </c>
      <c r="D91" s="1068" t="s">
        <v>1566</v>
      </c>
      <c r="E91" s="1139">
        <v>0.2</v>
      </c>
      <c r="F91" s="1154">
        <v>30</v>
      </c>
    </row>
    <row r="92" spans="1:6" s="1105" customFormat="1" ht="24">
      <c r="A92" s="1154">
        <v>32</v>
      </c>
      <c r="B92" s="3715" t="s">
        <v>1567</v>
      </c>
      <c r="C92" s="1154" t="s">
        <v>1568</v>
      </c>
      <c r="D92" s="1068" t="s">
        <v>1569</v>
      </c>
      <c r="E92" s="1139">
        <v>0.2</v>
      </c>
      <c r="F92" s="1154">
        <v>30</v>
      </c>
    </row>
    <row r="93" spans="1:6" s="1105" customFormat="1" ht="36">
      <c r="A93" s="1154">
        <v>33</v>
      </c>
      <c r="B93" s="3715"/>
      <c r="C93" s="1154" t="s">
        <v>1570</v>
      </c>
      <c r="D93" s="1068" t="s">
        <v>1571</v>
      </c>
      <c r="E93" s="1139">
        <v>0.2</v>
      </c>
      <c r="F93" s="1154">
        <v>30</v>
      </c>
    </row>
    <row r="94" spans="1:6" s="1105" customFormat="1" ht="48">
      <c r="A94" s="1154">
        <v>34</v>
      </c>
      <c r="B94" s="3715"/>
      <c r="C94" s="1154" t="s">
        <v>1572</v>
      </c>
      <c r="D94" s="1068" t="s">
        <v>1573</v>
      </c>
      <c r="E94" s="1139">
        <v>0.2</v>
      </c>
      <c r="F94" s="1154">
        <v>30</v>
      </c>
    </row>
    <row r="95" spans="1:6" s="1105" customFormat="1" ht="36">
      <c r="A95" s="1154">
        <v>35</v>
      </c>
      <c r="B95" s="3715"/>
      <c r="C95" s="1154" t="s">
        <v>1574</v>
      </c>
      <c r="D95" s="1068" t="s">
        <v>1575</v>
      </c>
      <c r="E95" s="1139">
        <v>0.2</v>
      </c>
      <c r="F95" s="1154">
        <v>30</v>
      </c>
    </row>
    <row r="96" spans="1:6" s="1105" customFormat="1" ht="48">
      <c r="A96" s="1154">
        <v>36</v>
      </c>
      <c r="B96" s="3715"/>
      <c r="C96" s="1068" t="s">
        <v>1576</v>
      </c>
      <c r="D96" s="1068" t="s">
        <v>1577</v>
      </c>
      <c r="E96" s="1139">
        <v>0.2</v>
      </c>
      <c r="F96" s="1154">
        <v>30</v>
      </c>
    </row>
    <row r="97" spans="1:6" s="1105" customFormat="1" ht="36">
      <c r="A97" s="1154">
        <v>37</v>
      </c>
      <c r="B97" s="3715"/>
      <c r="C97" s="1154" t="s">
        <v>1578</v>
      </c>
      <c r="D97" s="1068" t="s">
        <v>1579</v>
      </c>
      <c r="E97" s="1139">
        <v>0.2</v>
      </c>
      <c r="F97" s="1154">
        <v>30</v>
      </c>
    </row>
    <row r="98" spans="1:6" s="1105" customFormat="1" ht="36">
      <c r="A98" s="1154">
        <v>38</v>
      </c>
      <c r="B98" s="3715"/>
      <c r="C98" s="1154" t="s">
        <v>1580</v>
      </c>
      <c r="D98" s="1068" t="s">
        <v>1581</v>
      </c>
      <c r="E98" s="1139">
        <v>0.2</v>
      </c>
      <c r="F98" s="1154">
        <v>30</v>
      </c>
    </row>
    <row r="99" spans="1:6" s="1105" customFormat="1" ht="36">
      <c r="A99" s="1154">
        <v>39</v>
      </c>
      <c r="B99" s="3715" t="s">
        <v>1582</v>
      </c>
      <c r="C99" s="1154" t="s">
        <v>1583</v>
      </c>
      <c r="D99" s="1068" t="s">
        <v>1584</v>
      </c>
      <c r="E99" s="1139">
        <v>0.3</v>
      </c>
      <c r="F99" s="1154">
        <v>50</v>
      </c>
    </row>
    <row r="100" spans="1:6" s="1105" customFormat="1" ht="24">
      <c r="A100" s="1154">
        <v>40</v>
      </c>
      <c r="B100" s="3715"/>
      <c r="C100" s="1154" t="s">
        <v>1585</v>
      </c>
      <c r="D100" s="1068" t="s">
        <v>1586</v>
      </c>
      <c r="E100" s="1139">
        <v>0.2</v>
      </c>
      <c r="F100" s="1154">
        <v>30</v>
      </c>
    </row>
    <row r="101" spans="1:6" s="1105" customFormat="1" ht="36">
      <c r="A101" s="1154">
        <v>41</v>
      </c>
      <c r="B101" s="371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15" t="s">
        <v>1597</v>
      </c>
      <c r="C105" s="1154" t="s">
        <v>1598</v>
      </c>
      <c r="D105" s="1068" t="s">
        <v>1599</v>
      </c>
      <c r="E105" s="1139">
        <v>0.2</v>
      </c>
      <c r="F105" s="1154">
        <v>30</v>
      </c>
    </row>
    <row r="106" spans="1:6" s="1105" customFormat="1" ht="36">
      <c r="A106" s="1154">
        <v>46</v>
      </c>
      <c r="B106" s="3715"/>
      <c r="C106" s="1154" t="s">
        <v>1600</v>
      </c>
      <c r="D106" s="1068" t="s">
        <v>1601</v>
      </c>
      <c r="E106" s="1139">
        <v>0.2</v>
      </c>
      <c r="F106" s="1154">
        <v>30</v>
      </c>
    </row>
    <row r="107" spans="1:6" s="1105" customFormat="1" ht="36">
      <c r="A107" s="1154">
        <v>47</v>
      </c>
      <c r="B107" s="3715" t="s">
        <v>1602</v>
      </c>
      <c r="C107" s="1154" t="s">
        <v>1603</v>
      </c>
      <c r="D107" s="1068" t="s">
        <v>1604</v>
      </c>
      <c r="E107" s="1139">
        <v>0.3</v>
      </c>
      <c r="F107" s="1154">
        <v>50</v>
      </c>
    </row>
    <row r="108" spans="1:6" s="1105" customFormat="1" ht="36">
      <c r="A108" s="1154">
        <v>48</v>
      </c>
      <c r="B108" s="371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15" t="s">
        <v>1613</v>
      </c>
      <c r="C111" s="1154" t="s">
        <v>1614</v>
      </c>
      <c r="D111" s="1068" t="s">
        <v>1615</v>
      </c>
      <c r="E111" s="1139">
        <v>0.2</v>
      </c>
      <c r="F111" s="1154">
        <v>30</v>
      </c>
    </row>
    <row r="112" spans="1:6" s="1105" customFormat="1" ht="24">
      <c r="A112" s="1154">
        <v>52</v>
      </c>
      <c r="B112" s="3715"/>
      <c r="C112" s="1154" t="s">
        <v>1616</v>
      </c>
      <c r="D112" s="1068" t="s">
        <v>1617</v>
      </c>
      <c r="E112" s="1139">
        <v>0.2</v>
      </c>
      <c r="F112" s="1154">
        <v>30</v>
      </c>
    </row>
    <row r="113" spans="1:14" s="1105" customFormat="1" ht="24">
      <c r="A113" s="1154">
        <v>53</v>
      </c>
      <c r="B113" s="371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15" t="s">
        <v>1626</v>
      </c>
      <c r="C116" s="1154" t="s">
        <v>1627</v>
      </c>
      <c r="D116" s="1068" t="s">
        <v>1628</v>
      </c>
      <c r="E116" s="1139">
        <v>0.2</v>
      </c>
      <c r="F116" s="1154">
        <v>30</v>
      </c>
    </row>
    <row r="117" spans="1:14" ht="36">
      <c r="A117" s="1154">
        <v>57</v>
      </c>
      <c r="B117" s="371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14" t="s">
        <v>1635</v>
      </c>
      <c r="B121" s="3714"/>
      <c r="C121" s="3714"/>
      <c r="D121" s="3714"/>
      <c r="E121" s="3714"/>
      <c r="F121" s="3714"/>
      <c r="G121" s="3714"/>
      <c r="H121" s="3714"/>
      <c r="I121" s="3714"/>
      <c r="J121" s="37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7" t="s">
        <v>1041</v>
      </c>
      <c r="B1" s="3727"/>
      <c r="C1" s="3727"/>
      <c r="D1" s="3727"/>
      <c r="E1" s="3727"/>
      <c r="F1" s="3727"/>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8" t="s">
        <v>1054</v>
      </c>
      <c r="B2" s="3728"/>
      <c r="C2" s="3728"/>
      <c r="D2" s="3728"/>
      <c r="E2" s="3728"/>
      <c r="F2" s="3728"/>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9"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0"/>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1" t="s">
        <v>2083</v>
      </c>
      <c r="B1" s="3731"/>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2959</v>
      </c>
      <c r="B1" s="3131"/>
      <c r="C1" s="3131"/>
      <c r="D1" s="3131"/>
      <c r="E1" s="3131"/>
      <c r="F1" s="3131"/>
    </row>
    <row r="2" spans="1:6" ht="14.25">
      <c r="A2" s="3132" t="s">
        <v>2953</v>
      </c>
      <c r="B2" s="3133" t="e">
        <f ca="1">SUMIF(B7:B14,"&lt;&gt;#ref!",B7:B14)</f>
        <v>#DIV/0!</v>
      </c>
      <c r="C2" s="3132" t="s">
        <v>2954</v>
      </c>
      <c r="D2" s="3131"/>
      <c r="E2" s="3131"/>
      <c r="F2" s="3131"/>
    </row>
    <row r="3" spans="1:6" ht="14.25">
      <c r="A3" s="3132" t="s">
        <v>2956</v>
      </c>
      <c r="B3" s="3133" t="e">
        <f ca="1">ROUND(B2*10000/E3,0)</f>
        <v>#DIV/0!</v>
      </c>
      <c r="C3" s="3132" t="s">
        <v>2082</v>
      </c>
      <c r="D3" s="3132" t="s">
        <v>2955</v>
      </c>
      <c r="E3" s="3133" t="e">
        <f ca="1">SUM(E7:E14)</f>
        <v>#REF!</v>
      </c>
      <c r="F3" s="3131"/>
    </row>
    <row r="4" spans="1:6" ht="14.25">
      <c r="A4" s="3132" t="s">
        <v>2963</v>
      </c>
      <c r="B4" s="3133" t="e">
        <f ca="1">ROUND(B2*10000/E4,0)</f>
        <v>#DIV/0!</v>
      </c>
      <c r="C4" s="3132" t="s">
        <v>2082</v>
      </c>
      <c r="D4" s="3132" t="s">
        <v>2964</v>
      </c>
      <c r="E4" s="3133" t="e">
        <f ca="1">SUM(F7:F14)</f>
        <v>#REF!</v>
      </c>
      <c r="F4" s="3131"/>
    </row>
    <row r="5" spans="1:6" ht="14.25">
      <c r="A5" s="3134"/>
      <c r="B5" s="1882"/>
      <c r="C5" s="1882"/>
      <c r="D5" s="1882"/>
      <c r="E5" s="1882"/>
      <c r="F5" s="3131"/>
    </row>
    <row r="6" spans="1:6" ht="28.5">
      <c r="A6" s="3135" t="s">
        <v>2960</v>
      </c>
      <c r="B6" s="3132" t="s">
        <v>2957</v>
      </c>
      <c r="C6" s="3133"/>
      <c r="D6" s="1882"/>
      <c r="E6" s="3132" t="s">
        <v>2958</v>
      </c>
      <c r="F6" s="3132" t="s">
        <v>2962</v>
      </c>
    </row>
    <row r="7" spans="1:6" ht="14.25">
      <c r="A7" s="260" t="s">
        <v>2961</v>
      </c>
      <c r="B7" s="3136" t="e">
        <f ca="1">SUMIF(INDIRECT("'"&amp;A7&amp;"'"&amp;"!A:A"),"总价",INDIRECT("'"&amp;A7&amp;"'"&amp;"!B:B"))</f>
        <v>#DIV/0!</v>
      </c>
      <c r="C7" s="3132" t="s">
        <v>2954</v>
      </c>
      <c r="D7" s="1882"/>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2954</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2954</v>
      </c>
      <c r="D9" s="1882"/>
      <c r="E9" s="3137" t="e">
        <f t="shared" ca="1" si="1"/>
        <v>#REF!</v>
      </c>
      <c r="F9" s="3137" t="e">
        <f t="shared" ca="1" si="2"/>
        <v>#REF!</v>
      </c>
    </row>
    <row r="10" spans="1:6" ht="14.25">
      <c r="A10" s="260"/>
      <c r="B10" s="3136" t="e">
        <f t="shared" ca="1" si="0"/>
        <v>#REF!</v>
      </c>
      <c r="C10" s="3132" t="s">
        <v>2954</v>
      </c>
      <c r="D10" s="1882"/>
      <c r="E10" s="3137" t="e">
        <f t="shared" ca="1" si="1"/>
        <v>#REF!</v>
      </c>
      <c r="F10" s="3137" t="e">
        <f t="shared" ca="1" si="2"/>
        <v>#REF!</v>
      </c>
    </row>
    <row r="11" spans="1:6" ht="14.25">
      <c r="A11" s="260"/>
      <c r="B11" s="3136" t="e">
        <f t="shared" ca="1" si="0"/>
        <v>#REF!</v>
      </c>
      <c r="C11" s="3132" t="s">
        <v>2954</v>
      </c>
      <c r="D11" s="1882"/>
      <c r="E11" s="3137" t="e">
        <f t="shared" ca="1" si="1"/>
        <v>#REF!</v>
      </c>
      <c r="F11" s="3137" t="e">
        <f t="shared" ca="1" si="2"/>
        <v>#REF!</v>
      </c>
    </row>
    <row r="12" spans="1:6" ht="14.25">
      <c r="A12" s="260"/>
      <c r="B12" s="3136" t="e">
        <f t="shared" ca="1" si="0"/>
        <v>#REF!</v>
      </c>
      <c r="C12" s="3132" t="s">
        <v>2954</v>
      </c>
      <c r="D12" s="1882"/>
      <c r="E12" s="3137" t="e">
        <f t="shared" ca="1" si="1"/>
        <v>#REF!</v>
      </c>
      <c r="F12" s="3137" t="e">
        <f t="shared" ca="1" si="2"/>
        <v>#REF!</v>
      </c>
    </row>
    <row r="13" spans="1:6" ht="14.25">
      <c r="A13" s="260"/>
      <c r="B13" s="3136" t="e">
        <f t="shared" ca="1" si="0"/>
        <v>#REF!</v>
      </c>
      <c r="C13" s="3132" t="s">
        <v>2954</v>
      </c>
      <c r="D13" s="1882"/>
      <c r="E13" s="3137" t="e">
        <f t="shared" ca="1" si="1"/>
        <v>#REF!</v>
      </c>
      <c r="F13" s="3137" t="e">
        <f t="shared" ca="1" si="2"/>
        <v>#REF!</v>
      </c>
    </row>
    <row r="14" spans="1:6" ht="14.25">
      <c r="A14" s="3130"/>
      <c r="B14" s="3136" t="e">
        <f t="shared" ca="1" si="0"/>
        <v>#REF!</v>
      </c>
      <c r="C14" s="3132" t="s">
        <v>2954</v>
      </c>
      <c r="D14" s="1882"/>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36" sqref="G3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0" t="s">
        <v>2379</v>
      </c>
      <c r="F1" s="2411">
        <f ca="1">J54</f>
        <v>0</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19" t="s">
        <v>2467</v>
      </c>
      <c r="E7" s="2513"/>
      <c r="F7" s="2514"/>
      <c r="G7" s="1593"/>
      <c r="H7" s="781">
        <v>1</v>
      </c>
      <c r="I7" s="782" t="s">
        <v>2464</v>
      </c>
      <c r="J7" s="53">
        <f ca="1">J8+J12+J14</f>
        <v>0</v>
      </c>
      <c r="K7" s="2519" t="s">
        <v>2467</v>
      </c>
      <c r="L7" s="2513"/>
      <c r="M7" s="2514"/>
    </row>
    <row r="8" spans="1:25" ht="18" customHeight="1">
      <c r="A8" s="1832" t="s">
        <v>1826</v>
      </c>
      <c r="B8" s="3733" t="s">
        <v>2469</v>
      </c>
      <c r="C8" s="1827">
        <f ca="1">ROUND(F8*F10*F9*(1-F11)/10000,0)</f>
        <v>0</v>
      </c>
      <c r="D8" s="1824" t="s">
        <v>2541</v>
      </c>
      <c r="E8" s="61" t="s">
        <v>638</v>
      </c>
      <c r="F8" s="785">
        <f ca="1">INDIRECT("'数据-取费表'!u"&amp;$G$1)</f>
        <v>0</v>
      </c>
      <c r="G8" s="1593"/>
      <c r="H8" s="2527" t="s">
        <v>1826</v>
      </c>
      <c r="I8" s="3733" t="s">
        <v>2469</v>
      </c>
      <c r="J8" s="783">
        <f ca="1">ROUND(M8*M10*M9*(1-M11)/10000,0)</f>
        <v>0</v>
      </c>
      <c r="K8" s="341" t="s">
        <v>2541</v>
      </c>
      <c r="L8" s="784" t="s">
        <v>1740</v>
      </c>
      <c r="M8" s="785">
        <f ca="1">INDIRECT("'数据-取费表'!z"&amp;$G$1)</f>
        <v>0</v>
      </c>
    </row>
    <row r="9" spans="1:25" ht="18" customHeight="1">
      <c r="A9" s="2523"/>
      <c r="B9" s="3734"/>
      <c r="C9" s="1828"/>
      <c r="D9" s="1825"/>
      <c r="E9" s="61" t="s">
        <v>639</v>
      </c>
      <c r="F9" s="785">
        <f ca="1">IF(INDIRECT("'数据-取费表'!ah"&amp;$G$1)="",INDIRECT("'数据-取费表'!k"&amp;$G$1),INDIRECT("'数据-取费表'!ah"&amp;$G$1))</f>
        <v>0</v>
      </c>
      <c r="G9" s="1593"/>
      <c r="H9" s="2512"/>
      <c r="I9" s="3734"/>
      <c r="J9" s="788"/>
      <c r="K9" s="789"/>
      <c r="L9" s="784" t="s">
        <v>1741</v>
      </c>
      <c r="M9" s="785">
        <f ca="1">F9</f>
        <v>0</v>
      </c>
    </row>
    <row r="10" spans="1:25" ht="18" customHeight="1">
      <c r="A10" s="2516"/>
      <c r="B10" s="3735"/>
      <c r="C10" s="1828"/>
      <c r="D10" s="1825"/>
      <c r="E10" s="61" t="s">
        <v>640</v>
      </c>
      <c r="F10" s="785">
        <f ca="1">INDIRECT("'数据-取费表'!ai"&amp;$G$1)</f>
        <v>0</v>
      </c>
      <c r="G10" s="1593"/>
      <c r="H10" s="2512"/>
      <c r="I10" s="3735"/>
      <c r="J10" s="788"/>
      <c r="K10" s="789"/>
      <c r="L10" s="784" t="s">
        <v>1742</v>
      </c>
      <c r="M10" s="785">
        <f ca="1">INDIRECT("'数据-取费表'!ai"&amp;$G$1)</f>
        <v>0</v>
      </c>
    </row>
    <row r="11" spans="1:25" ht="18" customHeight="1">
      <c r="A11" s="786"/>
      <c r="B11" s="3736"/>
      <c r="C11" s="1828"/>
      <c r="D11" s="1825"/>
      <c r="E11" s="61" t="s">
        <v>641</v>
      </c>
      <c r="F11" s="794">
        <f ca="1">INDIRECT("'数据-取费表'!w"&amp;$G$1)</f>
        <v>0</v>
      </c>
      <c r="G11" s="1593"/>
      <c r="H11" s="2528"/>
      <c r="I11" s="3735"/>
      <c r="J11" s="788"/>
      <c r="K11" s="789"/>
      <c r="L11" s="795" t="s">
        <v>1743</v>
      </c>
      <c r="M11" s="796">
        <f ca="1">INDIRECT("'数据-取费表'!ab"&amp;$G$1)</f>
        <v>0</v>
      </c>
    </row>
    <row r="12" spans="1:25" ht="18" customHeight="1">
      <c r="A12" s="1832" t="s">
        <v>1827</v>
      </c>
      <c r="B12" s="2517" t="s">
        <v>2465</v>
      </c>
      <c r="C12" s="799">
        <f ca="1">ROUND(IF(F12="押一",F8*F10*F9/12*F13,IF(F12="押二",F8*F10*F9/12*2*F13,IF(F12="押三",F8*F10*F9/12*3*F13,C13*F13)))/10000,0)</f>
        <v>0</v>
      </c>
      <c r="D12" s="2524" t="s">
        <v>2472</v>
      </c>
      <c r="E12" s="2521" t="s">
        <v>2470</v>
      </c>
      <c r="F12" s="2644"/>
      <c r="G12" s="1593"/>
      <c r="H12" s="2584" t="s">
        <v>1827</v>
      </c>
      <c r="I12" s="2589" t="s">
        <v>2465</v>
      </c>
      <c r="J12" s="783">
        <f ca="1">ROUND(IF(M12="押一",M8*M10*M9/12*M13,IF(M12="押二",M8*M10*M9/12*2*M13,IF(M12="押三",M8*M10*M9/12*3*M13,J13*M13)))/10000,0)</f>
        <v>0</v>
      </c>
      <c r="K12" s="2524" t="s">
        <v>2472</v>
      </c>
      <c r="L12" s="2521" t="s">
        <v>2470</v>
      </c>
      <c r="M12" s="2644"/>
    </row>
    <row r="13" spans="1:25" ht="18" customHeight="1">
      <c r="A13" s="790"/>
      <c r="B13" s="2518" t="s">
        <v>2580</v>
      </c>
      <c r="C13" s="2522"/>
      <c r="D13" s="789"/>
      <c r="E13" s="2521" t="s">
        <v>2462</v>
      </c>
      <c r="F13" s="796">
        <f ca="1">'数据-取费表'!B39</f>
        <v>1.4999999999999999E-2</v>
      </c>
      <c r="G13" s="1593"/>
      <c r="H13" s="2585"/>
      <c r="I13" s="2518" t="s">
        <v>2580</v>
      </c>
      <c r="J13" s="2522"/>
      <c r="K13" s="2586"/>
      <c r="L13" s="2521" t="s">
        <v>2462</v>
      </c>
      <c r="M13" s="2515">
        <f ca="1">'数据-取费表'!B39</f>
        <v>1.4999999999999999E-2</v>
      </c>
    </row>
    <row r="14" spans="1:25" ht="18" customHeight="1" thickBot="1">
      <c r="A14" s="2560" t="s">
        <v>2474</v>
      </c>
      <c r="B14" s="2561" t="s">
        <v>2466</v>
      </c>
      <c r="C14" s="2562"/>
      <c r="D14" s="2563"/>
      <c r="E14" s="2564"/>
      <c r="F14" s="2565"/>
      <c r="G14" s="1593"/>
      <c r="H14" s="2574" t="s">
        <v>2474</v>
      </c>
      <c r="I14" s="2587" t="s">
        <v>2466</v>
      </c>
      <c r="J14" s="2588"/>
      <c r="K14" s="2563"/>
      <c r="L14" s="2564"/>
      <c r="M14" s="2577"/>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2073</v>
      </c>
      <c r="I16" s="2232" t="s">
        <v>2832</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0" t="s">
        <v>658</v>
      </c>
      <c r="L19" s="1978" t="s">
        <v>659</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1.4999999999999999E-2</v>
      </c>
      <c r="G22" s="1594"/>
      <c r="H22" s="1834" t="s">
        <v>1852</v>
      </c>
      <c r="I22" s="1824" t="s">
        <v>669</v>
      </c>
      <c r="J22" s="54">
        <f ca="1">ROUND(M22*M23/10000,0)</f>
        <v>0</v>
      </c>
      <c r="K22" s="814" t="s">
        <v>670</v>
      </c>
      <c r="L22" s="784" t="s">
        <v>671</v>
      </c>
      <c r="M22" s="640">
        <f>'数据-取费表'!B52</f>
        <v>8</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4"/>
      <c r="H23" s="1835"/>
      <c r="I23" s="1826"/>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5" t="str">
        <f>IF(F25&lt;=1,"单利计息。","复利计息。")&amp;"建造成本、管理费用、销售费用产生的利息。"</f>
        <v>复利计息。建造成本、管理费用、销售费用产生的利息。</v>
      </c>
      <c r="E24" s="1983"/>
      <c r="F24" s="56"/>
      <c r="G24" s="1593"/>
      <c r="H24" s="1833"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4"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1E-3</v>
      </c>
      <c r="D26" s="2594"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5" t="s">
        <v>2829</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3" t="s">
        <v>1885</v>
      </c>
      <c r="B31" s="2564" t="s">
        <v>2830</v>
      </c>
      <c r="C31" s="2567">
        <f ca="1">ROUND((C21+C22+C25+C28)/(1-F23-C26-C29-C30),0)</f>
        <v>0</v>
      </c>
      <c r="D31" s="2568"/>
      <c r="E31" s="2569"/>
      <c r="F31" s="2570"/>
      <c r="G31" s="1594"/>
      <c r="H31" s="823" t="s">
        <v>1874</v>
      </c>
      <c r="I31" s="3036" t="s">
        <v>2831</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1" t="s">
        <v>7</v>
      </c>
      <c r="B32" s="1829" t="s">
        <v>690</v>
      </c>
      <c r="C32" s="792">
        <f ca="1">ROUND(C33+C38+C39+C40,0)</f>
        <v>0</v>
      </c>
      <c r="D32" s="1823" t="s">
        <v>653</v>
      </c>
      <c r="E32" s="2510"/>
      <c r="F32" s="2514"/>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8</v>
      </c>
      <c r="G36" s="2063"/>
      <c r="H36" s="2066"/>
      <c r="I36" s="3732"/>
      <c r="J36" s="2080"/>
      <c r="K36" s="2081"/>
      <c r="L36" s="2080"/>
      <c r="M36" s="2080"/>
    </row>
    <row r="37" spans="1:18" ht="18" customHeight="1">
      <c r="A37" s="815"/>
      <c r="B37" s="793"/>
      <c r="C37" s="69"/>
      <c r="D37" s="816"/>
      <c r="E37" s="784" t="s">
        <v>675</v>
      </c>
      <c r="F37" s="785">
        <f ca="1">INDIRECT("'数据-取费表'!r"&amp;$G$1)</f>
        <v>0</v>
      </c>
      <c r="G37" s="2063"/>
      <c r="H37" s="2066"/>
      <c r="I37" s="3732"/>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3" t="s">
        <v>1881</v>
      </c>
      <c r="B40" s="2569" t="s">
        <v>667</v>
      </c>
      <c r="C40" s="2567">
        <f ca="1">ROUND(C7*F40,1)</f>
        <v>0</v>
      </c>
      <c r="D40" s="2568" t="s">
        <v>684</v>
      </c>
      <c r="E40" s="2569" t="s">
        <v>650</v>
      </c>
      <c r="F40" s="2565">
        <f ca="1">INDIRECT("'数据-取费表'!Am"&amp;$G$1)</f>
        <v>0</v>
      </c>
      <c r="G40" s="2063"/>
      <c r="H40" s="2078"/>
      <c r="I40" s="2082"/>
      <c r="J40" s="1989"/>
      <c r="K40" s="2084"/>
      <c r="L40" s="2078"/>
      <c r="M40" s="2078"/>
    </row>
    <row r="41" spans="1:18" ht="18" customHeight="1" thickTop="1">
      <c r="A41" s="1831">
        <v>4</v>
      </c>
      <c r="B41" s="1829"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0" t="s">
        <v>2972</v>
      </c>
      <c r="F43" s="3151">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0">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2" t="s">
        <v>2975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7" t="s">
        <v>2347</v>
      </c>
      <c r="J47" s="2378"/>
      <c r="K47" s="2379"/>
      <c r="L47" s="2380" t="str">
        <f ca="1">IF(M48="住宅",0,IF(L49&gt;J52,L61,J61))</f>
        <v>0</v>
      </c>
      <c r="O47" s="2417" t="s">
        <v>2415</v>
      </c>
      <c r="P47" s="1593"/>
      <c r="Q47" s="1605"/>
      <c r="R47" s="1593"/>
    </row>
    <row r="48" spans="1:18" s="2060" customFormat="1" ht="18" customHeight="1" thickBot="1">
      <c r="A48" s="2085"/>
      <c r="C48" s="2088"/>
      <c r="D48" s="2089"/>
      <c r="E48" s="2089"/>
      <c r="F48" s="2090"/>
      <c r="G48" s="2091"/>
      <c r="I48" s="2381" t="s">
        <v>2348</v>
      </c>
      <c r="J48" s="2386"/>
      <c r="K48" s="2387" t="s">
        <v>2354</v>
      </c>
      <c r="L48" s="2388">
        <f ca="1">INDIRECT("'数据-取费表'!d"&amp;$G$1)</f>
        <v>0</v>
      </c>
      <c r="M48" s="3147" t="str">
        <f>IF(ISNUMBER(FIND("住宅",C1)),"住宅","非住宅")</f>
        <v>非住宅</v>
      </c>
      <c r="O48" s="2418" t="s">
        <v>2380</v>
      </c>
      <c r="P48" s="2419" t="s">
        <v>2381</v>
      </c>
      <c r="Q48" s="2420" t="s">
        <v>2382</v>
      </c>
      <c r="R48" s="2419" t="s">
        <v>2383</v>
      </c>
    </row>
    <row r="49" spans="1:18" s="2060" customFormat="1" ht="18" customHeight="1" thickBot="1">
      <c r="A49" s="2085"/>
      <c r="D49" s="2092"/>
      <c r="E49" s="2093"/>
      <c r="F49" s="2090"/>
      <c r="G49" s="2091"/>
      <c r="H49" s="2094"/>
      <c r="I49" s="2382" t="s">
        <v>2349</v>
      </c>
      <c r="J49" s="2389"/>
      <c r="K49" s="2390" t="s">
        <v>2356</v>
      </c>
      <c r="L49" s="2391">
        <f ca="1">INDIRECT("'数据-取费表'!f"&amp;$G$1)</f>
        <v>0</v>
      </c>
      <c r="O49" s="2421" t="s">
        <v>2384</v>
      </c>
      <c r="P49" s="2422" t="s">
        <v>2410</v>
      </c>
      <c r="Q49" s="2423">
        <f ca="1">C41+J31</f>
        <v>0</v>
      </c>
      <c r="R49" s="2422" t="s">
        <v>2385</v>
      </c>
    </row>
    <row r="50" spans="1:18" s="2060" customFormat="1" ht="18" customHeight="1" thickBot="1">
      <c r="A50" s="2085"/>
      <c r="D50" s="2095"/>
      <c r="E50" s="2095"/>
      <c r="F50" s="2089"/>
      <c r="G50" s="2096"/>
      <c r="H50" s="2094"/>
      <c r="I50" s="2382" t="s">
        <v>2350</v>
      </c>
      <c r="J50" s="2392"/>
      <c r="K50" s="2393" t="s">
        <v>2357</v>
      </c>
      <c r="L50" s="2394"/>
      <c r="O50" s="2421" t="s">
        <v>2386</v>
      </c>
      <c r="P50" s="2422" t="s">
        <v>2411</v>
      </c>
      <c r="Q50" s="2423" t="str">
        <f ca="1">J61</f>
        <v>0</v>
      </c>
      <c r="R50" s="2422" t="s">
        <v>2387</v>
      </c>
    </row>
    <row r="51" spans="1:18" s="2060" customFormat="1" ht="18" customHeight="1" thickBot="1">
      <c r="A51" s="2097"/>
      <c r="D51" s="2095"/>
      <c r="E51" s="2095"/>
      <c r="F51" s="2086"/>
      <c r="H51" s="2094"/>
      <c r="I51" s="2382" t="s">
        <v>2351</v>
      </c>
      <c r="J51" s="2395">
        <f>SUMPRODUCT((I64:I66=J48)*(J63:L63=J49)*(J64:L66))</f>
        <v>0</v>
      </c>
      <c r="K51" s="2393" t="s">
        <v>2358</v>
      </c>
      <c r="L51" s="2394"/>
      <c r="O51" s="2424" t="s">
        <v>2388</v>
      </c>
      <c r="P51" s="2422" t="s">
        <v>2412</v>
      </c>
      <c r="Q51" s="2423">
        <f ca="1">C31</f>
        <v>0</v>
      </c>
      <c r="R51" s="2422" t="s">
        <v>2385</v>
      </c>
    </row>
    <row r="52" spans="1:18" s="2060" customFormat="1" ht="18" customHeight="1" thickBot="1">
      <c r="A52" s="2097"/>
      <c r="F52" s="2086"/>
      <c r="I52" s="2383" t="s">
        <v>2352</v>
      </c>
      <c r="J52" s="2396">
        <f>IF(J50="",J51,J50+J51-YEAR('数据-取费表'!B3))</f>
        <v>0</v>
      </c>
      <c r="K52" s="2382" t="s">
        <v>2359</v>
      </c>
      <c r="L52" s="2397">
        <f ca="1">ROUND(-PV(INDIRECT("'数据-取费表'!h"&amp;$G$1),L49,(C40-C14*J36),0),0)</f>
        <v>0</v>
      </c>
      <c r="O52" s="2424" t="s">
        <v>2389</v>
      </c>
      <c r="P52" s="2422" t="s">
        <v>2390</v>
      </c>
      <c r="Q52" s="2425" t="e">
        <f ca="1">J59</f>
        <v>#VALUE!</v>
      </c>
      <c r="R52" s="2426"/>
    </row>
    <row r="53" spans="1:18" s="2060" customFormat="1" ht="18" customHeight="1" thickBot="1">
      <c r="A53" s="2097"/>
      <c r="F53" s="2086"/>
      <c r="I53" s="2384" t="s">
        <v>2426</v>
      </c>
      <c r="J53" s="2398"/>
      <c r="K53" s="2384" t="s">
        <v>2425</v>
      </c>
      <c r="L53" s="2398"/>
      <c r="O53" s="2424" t="s">
        <v>2391</v>
      </c>
      <c r="P53" s="2422" t="s">
        <v>2392</v>
      </c>
      <c r="Q53" s="2425">
        <f>J53</f>
        <v>0</v>
      </c>
      <c r="R53" s="2426"/>
    </row>
    <row r="54" spans="1:18" s="2060" customFormat="1" ht="43.5" thickBot="1">
      <c r="A54" s="2097"/>
      <c r="I54" s="2385" t="s">
        <v>2353</v>
      </c>
      <c r="J54" s="2399">
        <f ca="1">IF(M48="住宅",J52,IF(J52&gt;L49,L49-'数据-取费表'!B25,J52))</f>
        <v>0</v>
      </c>
      <c r="K54" s="3737"/>
      <c r="L54" s="3738"/>
      <c r="O54" s="2424" t="s">
        <v>2393</v>
      </c>
      <c r="P54" s="2422" t="s">
        <v>2394</v>
      </c>
      <c r="Q54" s="2423">
        <f ca="1">J54</f>
        <v>0</v>
      </c>
      <c r="R54" s="2422"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1" t="s">
        <v>2396</v>
      </c>
      <c r="P55" s="2422" t="s">
        <v>2413</v>
      </c>
      <c r="Q55" s="2423">
        <f ca="1">Q49+Q50</f>
        <v>0</v>
      </c>
      <c r="R55" s="2426" t="s">
        <v>2397</v>
      </c>
    </row>
    <row r="56" spans="1:18" s="2060" customFormat="1" ht="16.5" thickBot="1">
      <c r="A56" s="2097"/>
      <c r="B56" s="2098"/>
      <c r="C56" s="2098"/>
      <c r="I56" s="3124" t="s">
        <v>2360</v>
      </c>
      <c r="J56" s="3148" t="e">
        <f ca="1">ROUND(IF(J48="钢混",J58/J51,1-(1-2%)*(J51-J58)/J51),3)</f>
        <v>#VALUE!</v>
      </c>
      <c r="K56" s="2400" t="s">
        <v>2361</v>
      </c>
      <c r="L56" s="2401"/>
      <c r="O56" s="2427" t="s">
        <v>2416</v>
      </c>
      <c r="P56" s="1593"/>
      <c r="Q56" s="1605"/>
      <c r="R56" s="1593"/>
    </row>
    <row r="57" spans="1:18" s="2060" customFormat="1" ht="43.5" thickBot="1">
      <c r="A57" s="2097"/>
      <c r="B57" s="2098"/>
      <c r="C57" s="2098"/>
      <c r="I57" s="2402" t="s">
        <v>2362</v>
      </c>
      <c r="J57" s="3147" t="s">
        <v>1680</v>
      </c>
      <c r="K57" s="2382" t="s">
        <v>2367</v>
      </c>
      <c r="L57" s="2391">
        <f ca="1">IF(L49&lt;J52,"——",L49-J52)</f>
        <v>0</v>
      </c>
      <c r="O57" s="2418" t="s">
        <v>2380</v>
      </c>
      <c r="P57" s="2419" t="s">
        <v>2381</v>
      </c>
      <c r="Q57" s="2420" t="s">
        <v>2382</v>
      </c>
      <c r="R57" s="2419" t="s">
        <v>2383</v>
      </c>
    </row>
    <row r="58" spans="1:18" s="2060" customFormat="1" ht="29.25" thickBot="1">
      <c r="A58" s="2097"/>
      <c r="B58" s="2098"/>
      <c r="C58" s="2098"/>
      <c r="I58" s="2403" t="s">
        <v>2363</v>
      </c>
      <c r="J58" s="2405" t="str">
        <f ca="1">IF(OR(M48="住宅",J52&lt;L49,J57="是"),"——",J52-L49)</f>
        <v>——</v>
      </c>
      <c r="K58" s="2382" t="s">
        <v>2368</v>
      </c>
      <c r="L58" s="2391">
        <f ca="1">IF(L49&lt;J52,"——",IF(L56="比较法",L50,IF(L56="基准地价",L51,L52)))</f>
        <v>0</v>
      </c>
      <c r="O58" s="2421" t="s">
        <v>2384</v>
      </c>
      <c r="P58" s="2422" t="s">
        <v>2410</v>
      </c>
      <c r="Q58" s="2423">
        <f ca="1">C41+J31</f>
        <v>0</v>
      </c>
      <c r="R58" s="2422" t="s">
        <v>2385</v>
      </c>
    </row>
    <row r="59" spans="1:18" s="2060" customFormat="1" ht="29.25" thickBot="1">
      <c r="A59" s="2097"/>
      <c r="B59" s="2098"/>
      <c r="C59" s="2098"/>
      <c r="I59" s="2403" t="s">
        <v>2364</v>
      </c>
      <c r="J59" s="3149" t="e">
        <f ca="1">IF(J56&lt;0.4,0.4,J56)</f>
        <v>#VALUE!</v>
      </c>
      <c r="K59" s="2382" t="s">
        <v>2369</v>
      </c>
      <c r="L59" s="2391">
        <f ca="1">IF(ISERROR(POWER(1+L53,L48-L49)*(POWER(1+L53,L49)-1)/(POWER(1+L53,L48)-1)),0,POWER(1+L53,L48-L49)*(POWER(1+L53,L49)-1)/(POWER(1+L53,L48)-1))</f>
        <v>0</v>
      </c>
      <c r="O59" s="2421" t="s">
        <v>2386</v>
      </c>
      <c r="P59" s="2422" t="s">
        <v>2417</v>
      </c>
      <c r="Q59" s="2423" t="e">
        <f ca="1">L61</f>
        <v>#DIV/0!</v>
      </c>
      <c r="R59" s="2426" t="s">
        <v>2419</v>
      </c>
    </row>
    <row r="60" spans="1:18" s="2060" customFormat="1" ht="29.25" thickBot="1">
      <c r="A60" s="2097"/>
      <c r="B60" s="2098"/>
      <c r="C60" s="2098"/>
      <c r="I60" s="2403" t="s">
        <v>2365</v>
      </c>
      <c r="J60" s="2405" t="str">
        <f ca="1">IF(OR(M48="住宅",J52&lt;L49,J57="是"),"——",ROUND(C30*J59,0))</f>
        <v>——</v>
      </c>
      <c r="K60" s="2382" t="s">
        <v>2370</v>
      </c>
      <c r="L60" s="2391">
        <f ca="1">IF(ISERROR(POWER(1+L53,L48-J52)*(POWER(1+L53,J52)-1)/(POWER(1+L53,L48)-1)),0,POWER(1+L53,L48-J52)*(POWER(1+L53,J52)-1)/(POWER(1+L53,L48)-1))</f>
        <v>0</v>
      </c>
      <c r="O60" s="2424" t="s">
        <v>2388</v>
      </c>
      <c r="P60" s="2422" t="s">
        <v>2418</v>
      </c>
      <c r="Q60" s="2423">
        <f>IF(L56="比较法",L50,IF(L56="基准地价",L51,0))</f>
        <v>0</v>
      </c>
      <c r="R60" s="2422" t="s">
        <v>2385</v>
      </c>
    </row>
    <row r="61" spans="1:18" s="2060" customFormat="1" ht="15.75" thickBot="1">
      <c r="A61" s="2097"/>
      <c r="B61" s="2098"/>
      <c r="C61" s="2098"/>
      <c r="I61" s="2404" t="s">
        <v>2366</v>
      </c>
      <c r="J61" s="2406" t="str">
        <f ca="1">IF(OR(M48="住宅",J52&lt;L49,J57="是"),"0",ROUND(J60/(1+J53)^J54,0))</f>
        <v>0</v>
      </c>
      <c r="K61" s="2407" t="s">
        <v>2371</v>
      </c>
      <c r="L61" s="2406" t="e">
        <f ca="1">IF(OR(M48="住宅",L49&lt;J52),0,ROUND(L58*(L59/L60-1),0))</f>
        <v>#DIV/0!</v>
      </c>
      <c r="O61" s="2424" t="s">
        <v>2389</v>
      </c>
      <c r="P61" s="2422" t="s">
        <v>2398</v>
      </c>
      <c r="Q61" s="2425">
        <f>L53</f>
        <v>0</v>
      </c>
      <c r="R61" s="2426"/>
    </row>
    <row r="62" spans="1:18" s="2060" customFormat="1" ht="20.25" thickBot="1">
      <c r="A62" s="2097"/>
      <c r="B62" s="2098"/>
      <c r="C62" s="2098"/>
      <c r="K62" s="2087"/>
      <c r="O62" s="2424" t="s">
        <v>2391</v>
      </c>
      <c r="P62" s="2422" t="s">
        <v>2399</v>
      </c>
      <c r="Q62" s="2423">
        <f ca="1">L59</f>
        <v>0</v>
      </c>
      <c r="R62" s="2426" t="s">
        <v>2400</v>
      </c>
    </row>
    <row r="63" spans="1:18" s="2060" customFormat="1" ht="20.25" thickBot="1">
      <c r="A63" s="2097"/>
      <c r="B63" s="2098"/>
      <c r="C63" s="2098"/>
      <c r="I63" s="2408" t="s">
        <v>2372</v>
      </c>
      <c r="J63" s="2409" t="s">
        <v>2373</v>
      </c>
      <c r="K63" s="2409" t="s">
        <v>2374</v>
      </c>
      <c r="L63" s="2409" t="s">
        <v>2355</v>
      </c>
      <c r="M63" s="3126" t="s">
        <v>2951</v>
      </c>
      <c r="O63" s="2424" t="s">
        <v>2393</v>
      </c>
      <c r="P63" s="2422" t="s">
        <v>2401</v>
      </c>
      <c r="Q63" s="2423">
        <f ca="1">L60</f>
        <v>0</v>
      </c>
      <c r="R63" s="2426" t="s">
        <v>2402</v>
      </c>
    </row>
    <row r="64" spans="1:18" s="2060" customFormat="1" ht="15.75" thickBot="1">
      <c r="A64" s="2097"/>
      <c r="B64" s="2098"/>
      <c r="C64" s="2098"/>
      <c r="I64" s="2408" t="s">
        <v>2375</v>
      </c>
      <c r="J64" s="2409">
        <v>70</v>
      </c>
      <c r="K64" s="2409">
        <v>50</v>
      </c>
      <c r="L64" s="2409">
        <v>80</v>
      </c>
      <c r="M64" s="3127">
        <v>0.02</v>
      </c>
      <c r="O64" s="2421" t="s">
        <v>2396</v>
      </c>
      <c r="P64" s="2422" t="s">
        <v>2413</v>
      </c>
      <c r="Q64" s="2423" t="e">
        <f ca="1">Q58+Q59</f>
        <v>#DIV/0!</v>
      </c>
      <c r="R64" s="2426" t="s">
        <v>2397</v>
      </c>
    </row>
    <row r="65" spans="1:18" s="2060" customFormat="1" ht="16.5" thickBot="1">
      <c r="A65" s="2097"/>
      <c r="B65" s="2098"/>
      <c r="C65" s="2098"/>
      <c r="I65" s="2408" t="s">
        <v>2376</v>
      </c>
      <c r="J65" s="2409">
        <v>50</v>
      </c>
      <c r="K65" s="2409">
        <v>35</v>
      </c>
      <c r="L65" s="2409">
        <v>60</v>
      </c>
      <c r="M65" s="3128">
        <v>0</v>
      </c>
      <c r="O65" s="2427" t="s">
        <v>2420</v>
      </c>
      <c r="P65" s="1593"/>
      <c r="Q65" s="1605"/>
      <c r="R65" s="1593"/>
    </row>
    <row r="66" spans="1:18" s="2060" customFormat="1" ht="15.75" thickBot="1">
      <c r="A66" s="2097"/>
      <c r="B66" s="2098"/>
      <c r="C66" s="2098"/>
      <c r="I66" s="2408" t="s">
        <v>2377</v>
      </c>
      <c r="J66" s="2409">
        <v>40</v>
      </c>
      <c r="K66" s="2409">
        <v>30</v>
      </c>
      <c r="L66" s="2409">
        <v>50</v>
      </c>
      <c r="M66" s="3127">
        <v>0.02</v>
      </c>
      <c r="O66" s="2418" t="s">
        <v>2380</v>
      </c>
      <c r="P66" s="2419" t="s">
        <v>2381</v>
      </c>
      <c r="Q66" s="2420" t="s">
        <v>2382</v>
      </c>
      <c r="R66" s="2419" t="s">
        <v>2383</v>
      </c>
    </row>
    <row r="67" spans="1:18" s="2060" customFormat="1" ht="15.75" thickBot="1">
      <c r="A67" s="2097"/>
      <c r="B67" s="2098"/>
      <c r="C67" s="2098"/>
      <c r="K67" s="2087"/>
      <c r="O67" s="2421" t="s">
        <v>2384</v>
      </c>
      <c r="P67" s="2422" t="s">
        <v>2410</v>
      </c>
      <c r="Q67" s="2423">
        <f ca="1">C41+J31</f>
        <v>0</v>
      </c>
      <c r="R67" s="2422" t="s">
        <v>2385</v>
      </c>
    </row>
    <row r="68" spans="1:18" s="2060" customFormat="1" ht="20.25" thickBot="1">
      <c r="A68" s="2097"/>
      <c r="B68" s="2098"/>
      <c r="C68" s="2098"/>
      <c r="K68" s="2087"/>
      <c r="O68" s="2421" t="s">
        <v>2386</v>
      </c>
      <c r="P68" s="2422" t="s">
        <v>2417</v>
      </c>
      <c r="Q68" s="2423" t="e">
        <f ca="1">L61</f>
        <v>#DIV/0!</v>
      </c>
      <c r="R68" s="2426" t="s">
        <v>2419</v>
      </c>
    </row>
    <row r="69" spans="1:18" s="2060" customFormat="1" ht="21.75" thickBot="1">
      <c r="A69" s="2097"/>
      <c r="B69" s="2098"/>
      <c r="C69" s="2098"/>
      <c r="K69" s="2087"/>
      <c r="O69" s="2424" t="s">
        <v>2388</v>
      </c>
      <c r="P69" s="2422" t="s">
        <v>2418</v>
      </c>
      <c r="Q69" s="2428">
        <f ca="1">L52</f>
        <v>0</v>
      </c>
      <c r="R69" s="2429" t="s">
        <v>2421</v>
      </c>
    </row>
    <row r="70" spans="1:18" s="2060" customFormat="1" ht="20.25" thickBot="1">
      <c r="A70" s="2097"/>
      <c r="B70" s="2098"/>
      <c r="C70" s="2098"/>
      <c r="K70" s="2087"/>
      <c r="O70" s="2424" t="s">
        <v>2389</v>
      </c>
      <c r="P70" s="2430" t="s">
        <v>2403</v>
      </c>
      <c r="Q70" s="2423">
        <f ca="1">ROUND(Q71-Q72*Q73,0)</f>
        <v>0</v>
      </c>
      <c r="R70" s="2426"/>
    </row>
    <row r="71" spans="1:18" s="2060" customFormat="1" ht="15.75" thickBot="1">
      <c r="A71" s="2097"/>
      <c r="B71" s="2098"/>
      <c r="C71" s="2098"/>
      <c r="K71" s="2087"/>
      <c r="O71" s="2424" t="s">
        <v>2404</v>
      </c>
      <c r="P71" s="2430" t="s">
        <v>2405</v>
      </c>
      <c r="Q71" s="2423">
        <f ca="1">C42</f>
        <v>0</v>
      </c>
      <c r="R71" s="2422" t="s">
        <v>2385</v>
      </c>
    </row>
    <row r="72" spans="1:18" s="2060" customFormat="1" ht="15.75" thickBot="1">
      <c r="A72" s="2097"/>
      <c r="B72" s="2098"/>
      <c r="C72" s="2098"/>
      <c r="K72" s="2087"/>
      <c r="O72" s="2424" t="s">
        <v>2406</v>
      </c>
      <c r="P72" s="2430" t="s">
        <v>2407</v>
      </c>
      <c r="Q72" s="2423">
        <f ca="1">C15</f>
        <v>0</v>
      </c>
      <c r="R72" s="2422" t="s">
        <v>2385</v>
      </c>
    </row>
    <row r="73" spans="1:18" s="2060" customFormat="1" ht="15.75" thickBot="1">
      <c r="A73" s="2097"/>
      <c r="B73" s="2098"/>
      <c r="C73" s="2098"/>
      <c r="K73" s="2087"/>
      <c r="O73" s="2424" t="s">
        <v>2408</v>
      </c>
      <c r="P73" s="2430" t="s">
        <v>2409</v>
      </c>
      <c r="Q73" s="2425">
        <f ca="1">F43</f>
        <v>0</v>
      </c>
      <c r="R73" s="2426"/>
    </row>
    <row r="74" spans="1:18" s="2060" customFormat="1" ht="15.75" thickBot="1">
      <c r="A74" s="2097"/>
      <c r="B74" s="2098"/>
      <c r="C74" s="2098"/>
      <c r="K74" s="2087"/>
      <c r="O74" s="2424" t="s">
        <v>2391</v>
      </c>
      <c r="P74" s="2422" t="s">
        <v>2398</v>
      </c>
      <c r="Q74" s="2425">
        <f>L53</f>
        <v>0</v>
      </c>
      <c r="R74" s="2426"/>
    </row>
    <row r="75" spans="1:18" s="2060" customFormat="1" ht="20.25" thickBot="1">
      <c r="A75" s="2097"/>
      <c r="B75" s="2098"/>
      <c r="C75" s="2098"/>
      <c r="K75" s="2087"/>
      <c r="O75" s="2424" t="s">
        <v>2393</v>
      </c>
      <c r="P75" s="2422" t="s">
        <v>2399</v>
      </c>
      <c r="Q75" s="2423">
        <f ca="1">L59</f>
        <v>0</v>
      </c>
      <c r="R75" s="2426" t="s">
        <v>2400</v>
      </c>
    </row>
    <row r="76" spans="1:18" s="2060" customFormat="1" ht="20.25" thickBot="1">
      <c r="A76" s="2097"/>
      <c r="B76" s="2098"/>
      <c r="C76" s="2098"/>
      <c r="K76" s="2087"/>
      <c r="O76" s="2424" t="s">
        <v>2422</v>
      </c>
      <c r="P76" s="2422" t="s">
        <v>2401</v>
      </c>
      <c r="Q76" s="2423">
        <f ca="1">L60</f>
        <v>0</v>
      </c>
      <c r="R76" s="2426" t="s">
        <v>2402</v>
      </c>
    </row>
    <row r="77" spans="1:18" s="2060" customFormat="1" ht="15.75" thickBot="1">
      <c r="A77" s="2097"/>
      <c r="B77" s="2098"/>
      <c r="C77" s="2098"/>
      <c r="K77" s="2087"/>
      <c r="O77" s="2421" t="s">
        <v>2396</v>
      </c>
      <c r="P77" s="2422" t="s">
        <v>2413</v>
      </c>
      <c r="Q77" s="2423" t="e">
        <f ca="1">Q67+Q68</f>
        <v>#DIV/0!</v>
      </c>
      <c r="R77" s="2426"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36" sqref="G3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41" t="s">
        <v>2583</v>
      </c>
      <c r="C1" s="3741"/>
      <c r="D1" s="3741"/>
      <c r="E1" s="3741"/>
      <c r="F1" s="3741"/>
      <c r="G1" s="3740" t="s">
        <v>2584</v>
      </c>
      <c r="H1" s="3740"/>
      <c r="I1" s="3740"/>
      <c r="J1" s="3740"/>
      <c r="K1" s="3740"/>
      <c r="L1" s="3740"/>
      <c r="N1" s="3740" t="s">
        <v>2585</v>
      </c>
      <c r="O1" s="3740"/>
      <c r="P1" s="3740"/>
      <c r="Q1" s="3740"/>
      <c r="R1" s="2678"/>
      <c r="S1" s="3740" t="s">
        <v>2586</v>
      </c>
      <c r="T1" s="3740"/>
      <c r="U1" s="3740"/>
      <c r="V1" s="3740"/>
      <c r="X1" s="3739" t="s">
        <v>2646</v>
      </c>
      <c r="Y1" s="3740"/>
      <c r="Z1" s="3740"/>
      <c r="AA1" s="3740"/>
      <c r="AB1" s="3740"/>
      <c r="AD1" s="3739" t="s">
        <v>2650</v>
      </c>
      <c r="AE1" s="3740"/>
      <c r="AF1" s="3740"/>
      <c r="AG1" s="3740"/>
      <c r="AH1" s="3740"/>
    </row>
    <row r="2" spans="1:34" s="2780" customFormat="1" ht="14.25" thickBot="1">
      <c r="B2" s="2788" t="s">
        <v>2587</v>
      </c>
      <c r="C2" s="2788" t="s">
        <v>2648</v>
      </c>
      <c r="D2" s="2781" t="s">
        <v>1646</v>
      </c>
      <c r="E2" s="2781" t="s">
        <v>1953</v>
      </c>
      <c r="F2" s="2788" t="s">
        <v>2649</v>
      </c>
      <c r="G2" s="2784"/>
      <c r="H2" s="2783"/>
      <c r="I2" s="2788" t="s">
        <v>2966</v>
      </c>
      <c r="J2" s="2781" t="s">
        <v>2968</v>
      </c>
      <c r="K2" s="2781" t="s">
        <v>2969</v>
      </c>
      <c r="L2" s="2788" t="s">
        <v>2970</v>
      </c>
      <c r="N2" s="2788" t="s">
        <v>2587</v>
      </c>
      <c r="O2" s="2781" t="s">
        <v>2967</v>
      </c>
      <c r="P2" s="2781" t="s">
        <v>1953</v>
      </c>
      <c r="Q2" s="2788" t="s">
        <v>2649</v>
      </c>
      <c r="R2" s="2782"/>
      <c r="S2" s="2788" t="s">
        <v>2587</v>
      </c>
      <c r="T2" s="2781" t="s">
        <v>2967</v>
      </c>
      <c r="U2" s="2781" t="s">
        <v>1953</v>
      </c>
      <c r="V2" s="2788" t="s">
        <v>2649</v>
      </c>
      <c r="X2" s="2788" t="s">
        <v>2587</v>
      </c>
      <c r="Y2" s="2788" t="s">
        <v>2648</v>
      </c>
      <c r="Z2" s="2781" t="s">
        <v>1646</v>
      </c>
      <c r="AA2" s="2781" t="s">
        <v>1953</v>
      </c>
      <c r="AB2" s="2788" t="s">
        <v>2649</v>
      </c>
      <c r="AD2" s="2788" t="s">
        <v>2587</v>
      </c>
      <c r="AE2" s="2788" t="s">
        <v>2648</v>
      </c>
      <c r="AF2" s="2781" t="s">
        <v>1646</v>
      </c>
      <c r="AG2" s="2781" t="s">
        <v>1953</v>
      </c>
      <c r="AH2" s="2788" t="s">
        <v>2649</v>
      </c>
    </row>
    <row r="3" spans="1:34" s="3162" customFormat="1" ht="14.25">
      <c r="A3" s="3174" t="s">
        <v>2980</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2979</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0">
        <v>1</v>
      </c>
      <c r="I5" s="3156">
        <v>0</v>
      </c>
      <c r="J5" s="3156">
        <v>0</v>
      </c>
      <c r="K5" s="3156">
        <v>0</v>
      </c>
      <c r="L5" s="3156">
        <v>0</v>
      </c>
      <c r="N5" s="2786">
        <f t="shared" ref="N5:N10" si="6">I5/100</f>
        <v>0</v>
      </c>
      <c r="O5" s="2786">
        <f t="shared" ref="O5" si="7">J5/100</f>
        <v>0</v>
      </c>
      <c r="P5" s="2786">
        <f t="shared" ref="P5" si="8">K5/100</f>
        <v>0</v>
      </c>
      <c r="Q5" s="2786">
        <f t="shared" ref="Q5" si="9">L5/100</f>
        <v>0</v>
      </c>
      <c r="R5" s="3142"/>
      <c r="S5" s="3143"/>
      <c r="T5" s="3142"/>
      <c r="U5" s="3142"/>
      <c r="V5" s="3142"/>
      <c r="W5" s="3172" t="s">
        <v>2981</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9" t="s">
        <v>2977</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59">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2982</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1"/>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2588</v>
      </c>
      <c r="B8" s="2693">
        <f t="shared" si="19"/>
        <v>419.31181600000002</v>
      </c>
      <c r="C8" s="2693">
        <f t="shared" si="19"/>
        <v>313.95436800000004</v>
      </c>
      <c r="D8" s="2693">
        <f t="shared" si="3"/>
        <v>313.95436800000004</v>
      </c>
      <c r="E8" s="2693">
        <f t="shared" si="20"/>
        <v>596.63028431999999</v>
      </c>
      <c r="F8" s="2693">
        <f t="shared" si="20"/>
        <v>274.74220703999998</v>
      </c>
      <c r="G8" s="3160"/>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2589</v>
      </c>
      <c r="B9" s="2693">
        <f t="shared" si="19"/>
        <v>405.524</v>
      </c>
      <c r="C9" s="2693">
        <f t="shared" si="19"/>
        <v>307.79840000000002</v>
      </c>
      <c r="D9" s="2693">
        <f t="shared" si="3"/>
        <v>307.79840000000002</v>
      </c>
      <c r="E9" s="2693">
        <f t="shared" si="20"/>
        <v>574.67759999999998</v>
      </c>
      <c r="F9" s="2693">
        <f t="shared" si="20"/>
        <v>270.20280000000002</v>
      </c>
      <c r="G9" s="3161"/>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972</v>
      </c>
      <c r="B10" s="2685">
        <v>392</v>
      </c>
      <c r="C10" s="2685">
        <v>302</v>
      </c>
      <c r="D10" s="2685">
        <f t="shared" si="3"/>
        <v>302</v>
      </c>
      <c r="E10" s="2685">
        <v>553</v>
      </c>
      <c r="F10" s="2686">
        <v>266</v>
      </c>
      <c r="G10" s="3748">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971</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43"/>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961</v>
      </c>
      <c r="B12" s="2693">
        <f t="shared" si="28"/>
        <v>360.06949782209392</v>
      </c>
      <c r="C12" s="2693">
        <f t="shared" si="28"/>
        <v>289.84672674747821</v>
      </c>
      <c r="D12" s="2693">
        <f t="shared" si="29"/>
        <v>289.84672674747821</v>
      </c>
      <c r="E12" s="2693">
        <f t="shared" si="30"/>
        <v>501.06543001181495</v>
      </c>
      <c r="F12" s="2693">
        <f t="shared" si="30"/>
        <v>256.82882500744967</v>
      </c>
      <c r="G12" s="3743"/>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970</v>
      </c>
      <c r="B13" s="2693">
        <f t="shared" si="28"/>
        <v>346.720748986128</v>
      </c>
      <c r="C13" s="2693">
        <f t="shared" si="28"/>
        <v>284.30282172386285</v>
      </c>
      <c r="D13" s="2693">
        <f t="shared" si="29"/>
        <v>284.30282172386285</v>
      </c>
      <c r="E13" s="2693">
        <f t="shared" si="30"/>
        <v>479.58023546306947</v>
      </c>
      <c r="F13" s="2693">
        <f t="shared" si="30"/>
        <v>253.25788877571213</v>
      </c>
      <c r="G13" s="3744"/>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969</v>
      </c>
      <c r="B14" s="2685">
        <v>333</v>
      </c>
      <c r="C14" s="2685">
        <v>277</v>
      </c>
      <c r="D14" s="2685">
        <f t="shared" si="29"/>
        <v>277</v>
      </c>
      <c r="E14" s="2685">
        <v>459</v>
      </c>
      <c r="F14" s="2686">
        <v>249</v>
      </c>
      <c r="G14" s="3742">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968</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43"/>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967</v>
      </c>
      <c r="B16" s="2693">
        <f t="shared" si="32"/>
        <v>322.34053690220776</v>
      </c>
      <c r="C16" s="2693">
        <f t="shared" si="32"/>
        <v>271.46160770422546</v>
      </c>
      <c r="D16" s="2693">
        <f t="shared" si="29"/>
        <v>271.46160770422546</v>
      </c>
      <c r="E16" s="2693">
        <f t="shared" si="33"/>
        <v>442.69434542172456</v>
      </c>
      <c r="F16" s="2693">
        <f t="shared" si="33"/>
        <v>241.34030753190925</v>
      </c>
      <c r="G16" s="3743"/>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966</v>
      </c>
      <c r="B17" s="2693">
        <f t="shared" si="32"/>
        <v>319.87748030386797</v>
      </c>
      <c r="C17" s="2693">
        <f t="shared" si="32"/>
        <v>269.60135833173649</v>
      </c>
      <c r="D17" s="2693">
        <f t="shared" si="29"/>
        <v>269.60135833173649</v>
      </c>
      <c r="E17" s="2693">
        <f t="shared" si="33"/>
        <v>439.18089823583784</v>
      </c>
      <c r="F17" s="2693">
        <f t="shared" si="33"/>
        <v>239.23503918706311</v>
      </c>
      <c r="G17" s="3744"/>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965</v>
      </c>
      <c r="B18" s="2707">
        <v>318</v>
      </c>
      <c r="C18" s="2707">
        <v>268</v>
      </c>
      <c r="D18" s="2707">
        <f t="shared" si="29"/>
        <v>268</v>
      </c>
      <c r="E18" s="2707">
        <v>437</v>
      </c>
      <c r="F18" s="2708">
        <v>237</v>
      </c>
      <c r="G18" s="3742">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964</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43"/>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963</v>
      </c>
      <c r="B20" s="2693">
        <f t="shared" si="34"/>
        <v>314.72141172386546</v>
      </c>
      <c r="C20" s="2693">
        <f t="shared" si="34"/>
        <v>263.03901319069001</v>
      </c>
      <c r="D20" s="2693">
        <f t="shared" si="29"/>
        <v>263.03901319069001</v>
      </c>
      <c r="E20" s="2693">
        <f t="shared" si="35"/>
        <v>433.65745506782821</v>
      </c>
      <c r="F20" s="2693">
        <f t="shared" si="35"/>
        <v>233.23005080045735</v>
      </c>
      <c r="G20" s="3743"/>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962</v>
      </c>
      <c r="B21" s="2712">
        <f t="shared" si="34"/>
        <v>307.34512863658733</v>
      </c>
      <c r="C21" s="2712">
        <f t="shared" si="34"/>
        <v>257.80556031626975</v>
      </c>
      <c r="D21" s="2712">
        <f t="shared" si="29"/>
        <v>257.80556031626975</v>
      </c>
      <c r="E21" s="2712">
        <f t="shared" si="35"/>
        <v>422.70928459677179</v>
      </c>
      <c r="F21" s="2712">
        <f t="shared" si="35"/>
        <v>229.73803270336617</v>
      </c>
      <c r="G21" s="3744"/>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2647</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2590</v>
      </c>
      <c r="B22" s="2685">
        <v>299</v>
      </c>
      <c r="C22" s="2685">
        <v>252</v>
      </c>
      <c r="D22" s="2685">
        <f t="shared" si="29"/>
        <v>252</v>
      </c>
      <c r="E22" s="2685">
        <v>409</v>
      </c>
      <c r="F22" s="2686">
        <v>227</v>
      </c>
      <c r="G22" s="3745">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2591</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746"/>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2592</v>
      </c>
      <c r="B24" s="2693">
        <f t="shared" si="38"/>
        <v>288.2649053828776</v>
      </c>
      <c r="C24" s="2693">
        <f t="shared" si="38"/>
        <v>243.64564425013293</v>
      </c>
      <c r="D24" s="2693">
        <f t="shared" si="29"/>
        <v>243.64564425013293</v>
      </c>
      <c r="E24" s="2693">
        <f t="shared" si="39"/>
        <v>393.31080825986544</v>
      </c>
      <c r="F24" s="2693">
        <f t="shared" si="39"/>
        <v>223.07903790551154</v>
      </c>
      <c r="G24" s="3746"/>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2593</v>
      </c>
      <c r="B25" s="2693">
        <f t="shared" si="38"/>
        <v>282.50186729015837</v>
      </c>
      <c r="C25" s="2693">
        <f t="shared" si="38"/>
        <v>238.09796174155468</v>
      </c>
      <c r="D25" s="2693">
        <f t="shared" si="29"/>
        <v>238.09796174155468</v>
      </c>
      <c r="E25" s="2693">
        <f t="shared" si="39"/>
        <v>385.33438646014054</v>
      </c>
      <c r="F25" s="2693">
        <f t="shared" si="39"/>
        <v>221.55034055567739</v>
      </c>
      <c r="G25" s="3747"/>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2594</v>
      </c>
      <c r="B26" s="2723">
        <v>278</v>
      </c>
      <c r="C26" s="2723">
        <v>234</v>
      </c>
      <c r="D26" s="2723">
        <f t="shared" si="29"/>
        <v>234</v>
      </c>
      <c r="E26" s="2723">
        <v>379</v>
      </c>
      <c r="F26" s="2724">
        <v>220</v>
      </c>
      <c r="G26" s="3742">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2595</v>
      </c>
      <c r="B27" s="2693">
        <f>B26/(1+N26)</f>
        <v>275.49301357645425</v>
      </c>
      <c r="C27" s="2693">
        <f>C26/(1+O26)</f>
        <v>232.41954707985698</v>
      </c>
      <c r="D27" s="2693">
        <f t="shared" si="29"/>
        <v>232.41954707985698</v>
      </c>
      <c r="E27" s="2693">
        <f t="shared" ref="E27:F29" si="40">E26/(1+P26)</f>
        <v>375.32184591008121</v>
      </c>
      <c r="F27" s="2693">
        <f t="shared" si="40"/>
        <v>218.03766105054513</v>
      </c>
      <c r="G27" s="3743"/>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2596</v>
      </c>
      <c r="B28" s="2693">
        <f>B27/(1+N27)</f>
        <v>275.24529281292263</v>
      </c>
      <c r="C28" s="2693">
        <f>C27/(1+O27)</f>
        <v>231.74747938962707</v>
      </c>
      <c r="D28" s="2693">
        <f t="shared" si="29"/>
        <v>231.74747938962707</v>
      </c>
      <c r="E28" s="2693">
        <f t="shared" si="40"/>
        <v>375.35938184826603</v>
      </c>
      <c r="F28" s="2693">
        <f t="shared" si="40"/>
        <v>216.78033510692495</v>
      </c>
      <c r="G28" s="3743"/>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2597</v>
      </c>
      <c r="B29" s="2693">
        <f>B28/(1+N28)</f>
        <v>275.19025476197027</v>
      </c>
      <c r="C29" s="2725">
        <v>232</v>
      </c>
      <c r="D29" s="2725">
        <f t="shared" si="29"/>
        <v>232</v>
      </c>
      <c r="E29" s="2693">
        <f t="shared" si="40"/>
        <v>375.65990977608692</v>
      </c>
      <c r="F29" s="2693">
        <f t="shared" si="40"/>
        <v>214.12518283971252</v>
      </c>
      <c r="G29" s="3744"/>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2598</v>
      </c>
      <c r="B30" s="2685">
        <v>275</v>
      </c>
      <c r="C30" s="2685">
        <v>232</v>
      </c>
      <c r="D30" s="2685">
        <f t="shared" si="29"/>
        <v>232</v>
      </c>
      <c r="E30" s="2685">
        <v>376</v>
      </c>
      <c r="F30" s="2686">
        <v>213</v>
      </c>
      <c r="G30" s="3742">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2599</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43">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2600</v>
      </c>
      <c r="B32" s="2693">
        <f t="shared" si="41"/>
        <v>275.19335084830601</v>
      </c>
      <c r="C32" s="2693">
        <f t="shared" si="41"/>
        <v>230.18088050139744</v>
      </c>
      <c r="D32" s="2693">
        <f t="shared" si="29"/>
        <v>230.18088050139744</v>
      </c>
      <c r="E32" s="2693">
        <f t="shared" si="42"/>
        <v>377.58482925212331</v>
      </c>
      <c r="F32" s="2693">
        <f t="shared" si="42"/>
        <v>210.90687997847917</v>
      </c>
      <c r="G32" s="3743">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2601</v>
      </c>
      <c r="B33" s="2693">
        <f t="shared" si="41"/>
        <v>276.29854502841971</v>
      </c>
      <c r="C33" s="2693">
        <f t="shared" si="41"/>
        <v>229.79023709833027</v>
      </c>
      <c r="D33" s="2693">
        <f t="shared" si="29"/>
        <v>229.79023709833027</v>
      </c>
      <c r="E33" s="2693">
        <f t="shared" si="42"/>
        <v>379.78759731655936</v>
      </c>
      <c r="F33" s="2693">
        <f t="shared" si="42"/>
        <v>211.32953905659235</v>
      </c>
      <c r="G33" s="3744">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2602</v>
      </c>
      <c r="B34" s="2685">
        <v>269</v>
      </c>
      <c r="C34" s="2685">
        <v>221</v>
      </c>
      <c r="D34" s="2685">
        <f t="shared" si="29"/>
        <v>221</v>
      </c>
      <c r="E34" s="2685">
        <v>373</v>
      </c>
      <c r="F34" s="2686">
        <v>196</v>
      </c>
      <c r="G34" s="3742">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2603</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43">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2604</v>
      </c>
      <c r="B36" s="2693">
        <f t="shared" si="43"/>
        <v>242.95398227588385</v>
      </c>
      <c r="C36" s="2693">
        <f t="shared" si="43"/>
        <v>199.59137053614126</v>
      </c>
      <c r="D36" s="2693">
        <f t="shared" si="29"/>
        <v>199.59137053614126</v>
      </c>
      <c r="E36" s="2693">
        <f t="shared" si="44"/>
        <v>335.92189522342125</v>
      </c>
      <c r="F36" s="2693">
        <f t="shared" si="44"/>
        <v>183.10139991109489</v>
      </c>
      <c r="G36" s="3743">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2605</v>
      </c>
      <c r="B37" s="2693">
        <f t="shared" si="43"/>
        <v>232.06990378821649</v>
      </c>
      <c r="C37" s="2693">
        <f t="shared" si="43"/>
        <v>192.74878854286936</v>
      </c>
      <c r="D37" s="2693">
        <f t="shared" si="29"/>
        <v>192.74878854286936</v>
      </c>
      <c r="E37" s="2693">
        <f t="shared" si="44"/>
        <v>319.71247284992984</v>
      </c>
      <c r="F37" s="2693">
        <f t="shared" si="44"/>
        <v>175.67053622862409</v>
      </c>
      <c r="G37" s="3744">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2606</v>
      </c>
      <c r="B38" s="2685">
        <v>220</v>
      </c>
      <c r="C38" s="2685">
        <v>187</v>
      </c>
      <c r="D38" s="2685">
        <f t="shared" si="29"/>
        <v>187</v>
      </c>
      <c r="E38" s="2685">
        <v>301</v>
      </c>
      <c r="F38" s="2686">
        <v>168</v>
      </c>
      <c r="G38" s="3742">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2607</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43">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2608</v>
      </c>
      <c r="B40" s="2693">
        <f t="shared" si="45"/>
        <v>210.630522469011</v>
      </c>
      <c r="C40" s="2693">
        <f t="shared" si="45"/>
        <v>181.69567812247232</v>
      </c>
      <c r="D40" s="2693">
        <f t="shared" si="29"/>
        <v>181.69567812247232</v>
      </c>
      <c r="E40" s="2693">
        <f t="shared" si="46"/>
        <v>286.13517466736738</v>
      </c>
      <c r="F40" s="2693">
        <f t="shared" si="46"/>
        <v>165.47535084591149</v>
      </c>
      <c r="G40" s="3743">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2609</v>
      </c>
      <c r="B41" s="2693">
        <f t="shared" si="45"/>
        <v>208.83454537875372</v>
      </c>
      <c r="C41" s="2693">
        <f t="shared" si="45"/>
        <v>183.77230517090351</v>
      </c>
      <c r="D41" s="2693">
        <f t="shared" si="29"/>
        <v>183.77230517090351</v>
      </c>
      <c r="E41" s="2693">
        <f t="shared" si="46"/>
        <v>281.10342338870947</v>
      </c>
      <c r="F41" s="2693">
        <f t="shared" si="46"/>
        <v>168.97309388942256</v>
      </c>
      <c r="G41" s="3744">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2610</v>
      </c>
      <c r="B42" s="2723">
        <v>214</v>
      </c>
      <c r="C42" s="2723">
        <v>188</v>
      </c>
      <c r="D42" s="2723">
        <f t="shared" si="29"/>
        <v>188</v>
      </c>
      <c r="E42" s="2723">
        <v>289</v>
      </c>
      <c r="F42" s="2724">
        <v>166</v>
      </c>
      <c r="G42" s="3742">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2611</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43">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2612</v>
      </c>
      <c r="B44" s="2693">
        <f t="shared" si="47"/>
        <v>206.31694671589116</v>
      </c>
      <c r="C44" s="2693">
        <f t="shared" si="47"/>
        <v>183.61041121036101</v>
      </c>
      <c r="D44" s="2693">
        <f t="shared" si="29"/>
        <v>183.61041121036101</v>
      </c>
      <c r="E44" s="2693">
        <f t="shared" si="48"/>
        <v>276.66850301795557</v>
      </c>
      <c r="F44" s="2693">
        <f t="shared" si="48"/>
        <v>165.1360938278614</v>
      </c>
      <c r="G44" s="3743">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2613</v>
      </c>
      <c r="B45" s="2726">
        <f t="shared" si="47"/>
        <v>196.62341248059772</v>
      </c>
      <c r="C45" s="2726">
        <f t="shared" si="47"/>
        <v>170.99125648199012</v>
      </c>
      <c r="D45" s="2726">
        <f t="shared" si="29"/>
        <v>170.99125648199012</v>
      </c>
      <c r="E45" s="2726">
        <f t="shared" si="48"/>
        <v>266.07857570490052</v>
      </c>
      <c r="F45" s="2726">
        <f t="shared" si="48"/>
        <v>154.53499328828505</v>
      </c>
      <c r="G45" s="3744">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2614</v>
      </c>
      <c r="B46" s="2685">
        <v>188</v>
      </c>
      <c r="C46" s="2685">
        <v>165</v>
      </c>
      <c r="D46" s="2685">
        <f t="shared" si="29"/>
        <v>165</v>
      </c>
      <c r="E46" s="2685">
        <v>254</v>
      </c>
      <c r="F46" s="2686">
        <v>148</v>
      </c>
      <c r="G46" s="3742">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2615</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43">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2616</v>
      </c>
      <c r="B48" s="2693">
        <f t="shared" si="51"/>
        <v>168.82017748715555</v>
      </c>
      <c r="C48" s="2693">
        <f t="shared" si="51"/>
        <v>148.06267029972753</v>
      </c>
      <c r="D48" s="2693">
        <f t="shared" si="29"/>
        <v>148.06267029972753</v>
      </c>
      <c r="E48" s="2693">
        <f t="shared" si="52"/>
        <v>216.46288379323747</v>
      </c>
      <c r="F48" s="2693">
        <f t="shared" si="52"/>
        <v>134.23529411764704</v>
      </c>
      <c r="G48" s="3743">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2617</v>
      </c>
      <c r="B49" s="2693">
        <f t="shared" si="51"/>
        <v>163.84913591779542</v>
      </c>
      <c r="C49" s="2693">
        <f t="shared" si="51"/>
        <v>145.0283378746594</v>
      </c>
      <c r="D49" s="2693">
        <f t="shared" si="29"/>
        <v>145.0283378746594</v>
      </c>
      <c r="E49" s="2693">
        <f t="shared" si="52"/>
        <v>204.95180722891567</v>
      </c>
      <c r="F49" s="2693">
        <f t="shared" si="52"/>
        <v>125.95920303605313</v>
      </c>
      <c r="G49" s="3744">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2618</v>
      </c>
      <c r="B50" s="2707">
        <v>159</v>
      </c>
      <c r="C50" s="2707">
        <v>141</v>
      </c>
      <c r="D50" s="2707">
        <f t="shared" si="29"/>
        <v>141</v>
      </c>
      <c r="E50" s="2707">
        <v>195</v>
      </c>
      <c r="F50" s="2708">
        <v>122</v>
      </c>
      <c r="G50" s="3742">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2619</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43">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2620</v>
      </c>
      <c r="B52" s="2693">
        <f t="shared" si="55"/>
        <v>146.57412060301507</v>
      </c>
      <c r="C52" s="2693">
        <f t="shared" si="55"/>
        <v>136.46831955922866</v>
      </c>
      <c r="D52" s="2693">
        <f t="shared" si="29"/>
        <v>136.46831955922866</v>
      </c>
      <c r="E52" s="2693">
        <f t="shared" si="56"/>
        <v>166.73864894795128</v>
      </c>
      <c r="F52" s="2693">
        <f t="shared" si="56"/>
        <v>115.05882352941177</v>
      </c>
      <c r="G52" s="3743">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2621</v>
      </c>
      <c r="B53" s="2693">
        <f t="shared" si="55"/>
        <v>144.04145728643215</v>
      </c>
      <c r="C53" s="2693">
        <f t="shared" si="55"/>
        <v>136.12396694214877</v>
      </c>
      <c r="D53" s="2693">
        <f t="shared" si="29"/>
        <v>136.12396694214877</v>
      </c>
      <c r="E53" s="2693">
        <f t="shared" si="56"/>
        <v>158.32225913621264</v>
      </c>
      <c r="F53" s="2693">
        <f t="shared" si="56"/>
        <v>114.04278074866311</v>
      </c>
      <c r="G53" s="3744">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2622</v>
      </c>
      <c r="B54" s="2707">
        <v>138</v>
      </c>
      <c r="C54" s="2707">
        <v>131</v>
      </c>
      <c r="D54" s="2707">
        <f t="shared" si="29"/>
        <v>131</v>
      </c>
      <c r="E54" s="2707">
        <v>155</v>
      </c>
      <c r="F54" s="2708">
        <v>114</v>
      </c>
      <c r="G54" s="3742">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2623</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43">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2624</v>
      </c>
      <c r="B56" s="2693">
        <f t="shared" si="59"/>
        <v>124.29032258064517</v>
      </c>
      <c r="C56" s="2693">
        <f t="shared" si="59"/>
        <v>123.8968609865471</v>
      </c>
      <c r="D56" s="2693">
        <f t="shared" si="29"/>
        <v>123.8968609865471</v>
      </c>
      <c r="E56" s="2693">
        <f t="shared" si="60"/>
        <v>138.00507614213197</v>
      </c>
      <c r="F56" s="2693">
        <f t="shared" si="60"/>
        <v>107.96106557377048</v>
      </c>
      <c r="G56" s="3743">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2625</v>
      </c>
      <c r="B57" s="2693">
        <f t="shared" si="59"/>
        <v>122.57204301075269</v>
      </c>
      <c r="C57" s="2693">
        <f t="shared" si="59"/>
        <v>123.4932735426009</v>
      </c>
      <c r="D57" s="2693">
        <f t="shared" si="29"/>
        <v>123.4932735426009</v>
      </c>
      <c r="E57" s="2693">
        <f t="shared" si="60"/>
        <v>129.82233502538071</v>
      </c>
      <c r="F57" s="2693">
        <f t="shared" si="60"/>
        <v>107.39446721311475</v>
      </c>
      <c r="G57" s="3744">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2626</v>
      </c>
      <c r="B58" s="2723">
        <v>121</v>
      </c>
      <c r="C58" s="2723">
        <v>122</v>
      </c>
      <c r="D58" s="2723">
        <f t="shared" si="29"/>
        <v>122</v>
      </c>
      <c r="E58" s="2723">
        <v>124</v>
      </c>
      <c r="F58" s="2724">
        <v>107</v>
      </c>
      <c r="G58" s="3742">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2627</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43">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2628</v>
      </c>
      <c r="B60" s="2693">
        <f t="shared" si="63"/>
        <v>116.99099099099099</v>
      </c>
      <c r="C60" s="2693">
        <f t="shared" si="63"/>
        <v>118.84848484848486</v>
      </c>
      <c r="D60" s="2693">
        <f t="shared" si="29"/>
        <v>118.84848484848486</v>
      </c>
      <c r="E60" s="2693">
        <f t="shared" si="64"/>
        <v>117.60960960960961</v>
      </c>
      <c r="F60" s="2693">
        <f t="shared" si="64"/>
        <v>104</v>
      </c>
      <c r="G60" s="3743">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2629</v>
      </c>
      <c r="B61" s="2726">
        <f t="shared" si="63"/>
        <v>112.48648648648648</v>
      </c>
      <c r="C61" s="2726">
        <f t="shared" si="63"/>
        <v>115.21212121212122</v>
      </c>
      <c r="D61" s="2726">
        <f t="shared" si="29"/>
        <v>115.21212121212122</v>
      </c>
      <c r="E61" s="2726">
        <f t="shared" si="64"/>
        <v>110.4024024024024</v>
      </c>
      <c r="F61" s="2726">
        <f t="shared" si="64"/>
        <v>104</v>
      </c>
      <c r="G61" s="3744">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2630</v>
      </c>
      <c r="B62" s="2744">
        <v>111</v>
      </c>
      <c r="C62" s="2744">
        <v>114</v>
      </c>
      <c r="D62" s="2744">
        <f t="shared" si="29"/>
        <v>114</v>
      </c>
      <c r="E62" s="2744">
        <v>108</v>
      </c>
      <c r="F62" s="2745">
        <v>104</v>
      </c>
      <c r="G62" s="3742">
        <v>2003</v>
      </c>
      <c r="H62" s="2734">
        <v>4</v>
      </c>
      <c r="I62" s="2746"/>
      <c r="J62" s="2746"/>
      <c r="K62" s="2746"/>
      <c r="L62" s="2746"/>
      <c r="N62" s="2747"/>
      <c r="O62" s="2746"/>
      <c r="P62" s="2746"/>
      <c r="Q62" s="2746"/>
      <c r="S62" s="2747"/>
      <c r="T62" s="2746"/>
      <c r="U62" s="2746"/>
      <c r="V62" s="2746"/>
      <c r="X62" s="2738"/>
      <c r="Y62" s="2738"/>
      <c r="Z62" s="2738"/>
    </row>
    <row r="63" spans="1:26">
      <c r="A63" s="2679" t="s">
        <v>2631</v>
      </c>
      <c r="B63" s="2748">
        <f t="shared" ref="B63:C65" si="65">B64+(B$62-B$66)/4</f>
        <v>109.75</v>
      </c>
      <c r="C63" s="2748">
        <f t="shared" si="65"/>
        <v>112.25</v>
      </c>
      <c r="D63" s="2748">
        <f t="shared" si="29"/>
        <v>112.25</v>
      </c>
      <c r="E63" s="2748">
        <f t="shared" ref="E63:F65" si="66">E64+(E$62-E$66)/4</f>
        <v>107.25</v>
      </c>
      <c r="F63" s="2748">
        <f t="shared" si="66"/>
        <v>103.5</v>
      </c>
      <c r="G63" s="3743">
        <v>2003</v>
      </c>
      <c r="H63" s="2704">
        <v>3</v>
      </c>
      <c r="I63" s="2746"/>
      <c r="J63" s="2746"/>
      <c r="K63" s="2746"/>
      <c r="L63" s="2746"/>
      <c r="X63" s="2738"/>
      <c r="Y63" s="2738"/>
      <c r="Z63" s="2738"/>
    </row>
    <row r="64" spans="1:26">
      <c r="A64" s="2679" t="s">
        <v>2632</v>
      </c>
      <c r="B64" s="2748">
        <f t="shared" si="65"/>
        <v>108.5</v>
      </c>
      <c r="C64" s="2748">
        <f t="shared" si="65"/>
        <v>110.5</v>
      </c>
      <c r="D64" s="2748">
        <f t="shared" si="29"/>
        <v>110.5</v>
      </c>
      <c r="E64" s="2748">
        <f t="shared" si="66"/>
        <v>106.5</v>
      </c>
      <c r="F64" s="2748">
        <f t="shared" si="66"/>
        <v>103</v>
      </c>
      <c r="G64" s="3743">
        <v>2003</v>
      </c>
      <c r="H64" s="2684">
        <v>2</v>
      </c>
      <c r="I64" s="2746"/>
      <c r="J64" s="2746"/>
      <c r="K64" s="2746"/>
      <c r="L64" s="2746"/>
      <c r="X64" s="2738"/>
      <c r="Y64" s="2738"/>
      <c r="Z64" s="2738"/>
    </row>
    <row r="65" spans="1:26" ht="13.5" thickBot="1">
      <c r="A65" s="2679" t="s">
        <v>2633</v>
      </c>
      <c r="B65" s="2748">
        <f t="shared" si="65"/>
        <v>107.25</v>
      </c>
      <c r="C65" s="2748">
        <f t="shared" si="65"/>
        <v>108.75</v>
      </c>
      <c r="D65" s="2748">
        <f t="shared" si="29"/>
        <v>108.75</v>
      </c>
      <c r="E65" s="2748">
        <f t="shared" si="66"/>
        <v>105.75</v>
      </c>
      <c r="F65" s="2748">
        <f t="shared" si="66"/>
        <v>102.5</v>
      </c>
      <c r="G65" s="3744">
        <v>2003</v>
      </c>
      <c r="H65" s="2749">
        <v>1</v>
      </c>
      <c r="I65" s="2746"/>
      <c r="J65" s="2746"/>
      <c r="K65" s="2746"/>
      <c r="L65" s="2746"/>
      <c r="S65" s="2688"/>
      <c r="T65" s="2689"/>
      <c r="U65" s="2689"/>
      <c r="X65" s="2738"/>
      <c r="Y65" s="2738"/>
      <c r="Z65" s="2738"/>
    </row>
    <row r="66" spans="1:26" ht="13.5" thickBot="1">
      <c r="A66" s="2679" t="s">
        <v>2634</v>
      </c>
      <c r="B66" s="2750">
        <v>106</v>
      </c>
      <c r="C66" s="2750">
        <v>107</v>
      </c>
      <c r="D66" s="2750">
        <f t="shared" si="29"/>
        <v>107</v>
      </c>
      <c r="E66" s="2750">
        <v>105</v>
      </c>
      <c r="F66" s="2751">
        <v>102</v>
      </c>
      <c r="G66" s="3742">
        <v>2002</v>
      </c>
      <c r="H66" s="2699">
        <v>4</v>
      </c>
      <c r="I66" s="2746"/>
      <c r="J66" s="2746"/>
      <c r="K66" s="2746"/>
      <c r="L66" s="2746"/>
      <c r="N66" s="2747"/>
      <c r="O66" s="2746"/>
      <c r="P66" s="2746"/>
      <c r="Q66" s="2746"/>
      <c r="S66" s="2747"/>
      <c r="T66" s="2746"/>
      <c r="U66" s="2746"/>
      <c r="V66" s="2746"/>
      <c r="X66" s="2738"/>
      <c r="Y66" s="2738"/>
      <c r="Z66" s="2738"/>
    </row>
    <row r="67" spans="1:26">
      <c r="A67" s="2679" t="s">
        <v>2635</v>
      </c>
      <c r="B67" s="2748">
        <f t="shared" ref="B67:C69" si="67">B68+(B$66-B$70)/4</f>
        <v>105</v>
      </c>
      <c r="C67" s="2748">
        <f t="shared" si="67"/>
        <v>106</v>
      </c>
      <c r="D67" s="2748">
        <f t="shared" si="29"/>
        <v>106</v>
      </c>
      <c r="E67" s="2748">
        <f t="shared" ref="E67:F69" si="68">E68+(E$66-E$70)/4</f>
        <v>104.5</v>
      </c>
      <c r="F67" s="2748">
        <f t="shared" si="68"/>
        <v>101.5</v>
      </c>
      <c r="G67" s="3743">
        <v>2002</v>
      </c>
      <c r="H67" s="2704">
        <v>3</v>
      </c>
      <c r="I67" s="2746"/>
      <c r="J67" s="2746"/>
      <c r="K67" s="2746"/>
      <c r="L67" s="2746"/>
      <c r="X67" s="2738"/>
      <c r="Y67" s="2738"/>
      <c r="Z67" s="2738"/>
    </row>
    <row r="68" spans="1:26">
      <c r="A68" s="2679" t="s">
        <v>2636</v>
      </c>
      <c r="B68" s="2748">
        <f t="shared" si="67"/>
        <v>104</v>
      </c>
      <c r="C68" s="2748">
        <f t="shared" si="67"/>
        <v>105</v>
      </c>
      <c r="D68" s="2748">
        <f t="shared" si="29"/>
        <v>105</v>
      </c>
      <c r="E68" s="2748">
        <f t="shared" si="68"/>
        <v>104</v>
      </c>
      <c r="F68" s="2748">
        <f t="shared" si="68"/>
        <v>101</v>
      </c>
      <c r="G68" s="3743">
        <v>2002</v>
      </c>
      <c r="H68" s="2684">
        <v>2</v>
      </c>
      <c r="I68" s="2746"/>
      <c r="J68" s="2746"/>
      <c r="K68" s="2746"/>
      <c r="L68" s="2746"/>
      <c r="X68" s="2738"/>
      <c r="Y68" s="2738"/>
      <c r="Z68" s="2738"/>
    </row>
    <row r="69" spans="1:26" s="2715" customFormat="1" ht="13.5" thickBot="1">
      <c r="A69" s="2711" t="s">
        <v>2637</v>
      </c>
      <c r="B69" s="2752">
        <f t="shared" si="67"/>
        <v>103</v>
      </c>
      <c r="C69" s="2752">
        <f t="shared" si="67"/>
        <v>104</v>
      </c>
      <c r="D69" s="2752">
        <f t="shared" si="29"/>
        <v>104</v>
      </c>
      <c r="E69" s="2752">
        <f t="shared" si="68"/>
        <v>103.5</v>
      </c>
      <c r="F69" s="2752">
        <f t="shared" si="68"/>
        <v>100.5</v>
      </c>
      <c r="G69" s="3744">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2638</v>
      </c>
      <c r="G72" s="2762"/>
      <c r="N72" s="2762"/>
      <c r="S72" s="2762"/>
    </row>
    <row r="73" spans="1:26" s="2761" customFormat="1">
      <c r="A73" s="2761" t="s">
        <v>2639</v>
      </c>
      <c r="G73" s="2762"/>
      <c r="N73" s="2762"/>
      <c r="S73" s="2762"/>
    </row>
    <row r="74" spans="1:26" s="2761" customFormat="1">
      <c r="A74" s="2761" t="s">
        <v>2640</v>
      </c>
      <c r="G74" s="2762"/>
      <c r="I74" s="2763"/>
      <c r="J74" s="2763"/>
      <c r="K74" s="2763"/>
      <c r="L74" s="2763"/>
      <c r="N74" s="2764"/>
      <c r="O74" s="2763"/>
      <c r="P74" s="2763"/>
      <c r="Q74" s="2763"/>
      <c r="S74" s="2764"/>
      <c r="T74" s="2763"/>
      <c r="U74" s="2763"/>
      <c r="V74" s="2763"/>
    </row>
    <row r="75" spans="1:26" s="2761" customFormat="1">
      <c r="A75" s="2761" t="s">
        <v>2641</v>
      </c>
      <c r="G75" s="2762"/>
      <c r="N75" s="2762"/>
      <c r="S75" s="2762"/>
    </row>
    <row r="82" spans="7:22" ht="13.5" thickBot="1"/>
    <row r="83" spans="7:22">
      <c r="G83" s="2687"/>
      <c r="S83" s="2765" t="s">
        <v>2642</v>
      </c>
      <c r="T83" s="2766" t="s">
        <v>2643</v>
      </c>
      <c r="U83" s="2766" t="s">
        <v>2644</v>
      </c>
      <c r="V83" s="2766" t="s">
        <v>2645</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36" sqref="G3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3"/>
      <c r="E1" s="2410" t="s">
        <v>2379</v>
      </c>
      <c r="F1" s="2411" t="b">
        <f>J53</f>
        <v>0</v>
      </c>
      <c r="G1" s="774">
        <f>MATCH(C1,'数据-取费表'!A6:A16,0)+5</f>
        <v>9</v>
      </c>
      <c r="H1" s="2051"/>
      <c r="I1" s="2052"/>
      <c r="J1" s="2052"/>
      <c r="K1" s="2053"/>
      <c r="L1" s="2052"/>
      <c r="M1" s="2052"/>
      <c r="N1" s="2054"/>
      <c r="O1" s="2054"/>
      <c r="P1" s="2054"/>
      <c r="Q1" s="2415"/>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1"/>
      <c r="H2" s="2058"/>
      <c r="I2" s="2058"/>
      <c r="J2" s="2058"/>
      <c r="K2" s="2059"/>
      <c r="L2" s="2058"/>
      <c r="M2" s="2058"/>
    </row>
    <row r="3" spans="1:33" ht="18" customHeight="1" thickBot="1">
      <c r="A3" s="833" t="s">
        <v>1729</v>
      </c>
      <c r="B3" s="834">
        <f ca="1">IF(ISERROR(B2*10000/F43),0,ROUND(B2*10000/F43,0))</f>
        <v>0</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19" t="s">
        <v>2467</v>
      </c>
      <c r="E5" s="2513"/>
      <c r="F5" s="2514"/>
      <c r="G5" s="1593"/>
      <c r="H5" s="781">
        <v>1</v>
      </c>
      <c r="I5" s="782" t="s">
        <v>2464</v>
      </c>
      <c r="J5" s="55">
        <f ca="1">J6+J10+J12</f>
        <v>0</v>
      </c>
      <c r="K5" s="2519" t="s">
        <v>2467</v>
      </c>
      <c r="L5" s="2513"/>
      <c r="M5" s="2514"/>
    </row>
    <row r="6" spans="1:33" ht="18" customHeight="1">
      <c r="A6" s="1832" t="s">
        <v>1826</v>
      </c>
      <c r="B6" s="3733" t="s">
        <v>2469</v>
      </c>
      <c r="C6" s="783">
        <f ca="1">ROUND(F6*F8*F7*(1-F9)/10000,0)</f>
        <v>0</v>
      </c>
      <c r="D6" s="2520" t="s">
        <v>2468</v>
      </c>
      <c r="E6" s="784" t="s">
        <v>1740</v>
      </c>
      <c r="F6" s="785">
        <f ca="1">INDIRECT("'数据-取费表'!u"&amp;$G$1)</f>
        <v>0</v>
      </c>
      <c r="G6" s="1593"/>
      <c r="H6" s="2527" t="s">
        <v>2475</v>
      </c>
      <c r="I6" s="3733" t="s">
        <v>2469</v>
      </c>
      <c r="J6" s="783">
        <f ca="1">ROUND(M6*M8*M7*(1-M9)/10000,0)</f>
        <v>0</v>
      </c>
      <c r="K6" s="341" t="s">
        <v>1739</v>
      </c>
      <c r="L6" s="784" t="s">
        <v>1740</v>
      </c>
      <c r="M6" s="785">
        <f ca="1">INDIRECT("'数据-取费表'!z"&amp;$G$1)</f>
        <v>0</v>
      </c>
    </row>
    <row r="7" spans="1:33" ht="18" customHeight="1">
      <c r="A7" s="2523"/>
      <c r="B7" s="3734"/>
      <c r="C7" s="788"/>
      <c r="D7" s="789"/>
      <c r="E7" s="784" t="s">
        <v>1741</v>
      </c>
      <c r="F7" s="785">
        <f ca="1">IF(INDIRECT("'数据-取费表'!ah"&amp;$G$1)="",INDIRECT("'数据-取费表'!k"&amp;$G$1),INDIRECT("'数据-取费表'!ah"&amp;$G$1))</f>
        <v>0</v>
      </c>
      <c r="G7" s="1593"/>
      <c r="H7" s="2512"/>
      <c r="I7" s="3734"/>
      <c r="J7" s="788"/>
      <c r="K7" s="789"/>
      <c r="L7" s="784" t="s">
        <v>1741</v>
      </c>
      <c r="M7" s="785">
        <f ca="1">F7</f>
        <v>0</v>
      </c>
    </row>
    <row r="8" spans="1:33" ht="18" customHeight="1">
      <c r="A8" s="2516"/>
      <c r="B8" s="3735"/>
      <c r="C8" s="788"/>
      <c r="D8" s="789"/>
      <c r="E8" s="784" t="s">
        <v>1742</v>
      </c>
      <c r="F8" s="785">
        <f ca="1">INDIRECT("'数据-取费表'!ai"&amp;$G$1)</f>
        <v>0</v>
      </c>
      <c r="G8" s="1593"/>
      <c r="H8" s="2512"/>
      <c r="I8" s="3735"/>
      <c r="J8" s="788"/>
      <c r="K8" s="789"/>
      <c r="L8" s="784" t="s">
        <v>1742</v>
      </c>
      <c r="M8" s="785">
        <f ca="1">INDIRECT("'数据-取费表'!ai"&amp;$G$1)</f>
        <v>0</v>
      </c>
    </row>
    <row r="9" spans="1:33" ht="18" customHeight="1">
      <c r="A9" s="786"/>
      <c r="B9" s="3736"/>
      <c r="C9" s="788"/>
      <c r="D9" s="789"/>
      <c r="E9" s="784" t="s">
        <v>1743</v>
      </c>
      <c r="F9" s="794">
        <f ca="1">INDIRECT("'数据-取费表'!w"&amp;$G$1)</f>
        <v>0</v>
      </c>
      <c r="G9" s="1593"/>
      <c r="H9" s="2528"/>
      <c r="I9" s="3735"/>
      <c r="J9" s="788"/>
      <c r="K9" s="789"/>
      <c r="L9" s="795" t="s">
        <v>1743</v>
      </c>
      <c r="M9" s="796">
        <f ca="1">INDIRECT("'数据-取费表'!ab"&amp;$G$1)</f>
        <v>0</v>
      </c>
    </row>
    <row r="10" spans="1:33" ht="18" customHeight="1">
      <c r="A10" s="1832" t="s">
        <v>2473</v>
      </c>
      <c r="B10" s="2517" t="s">
        <v>2465</v>
      </c>
      <c r="C10" s="799">
        <f ca="1">ROUND(IF(F10="押一",F6*F8*F7/12*F11,IF(F10="押二",F6*F8*F7/12*2*F11,IF(F10="押三",F6*F8*F7/12*3*F11,C11*F11)))/10000,0)</f>
        <v>0</v>
      </c>
      <c r="D10" s="2524" t="s">
        <v>2472</v>
      </c>
      <c r="E10" s="2521" t="s">
        <v>2470</v>
      </c>
      <c r="F10" s="2644"/>
      <c r="G10" s="1593"/>
      <c r="H10" s="2584" t="s">
        <v>2476</v>
      </c>
      <c r="I10" s="2589" t="s">
        <v>2465</v>
      </c>
      <c r="J10" s="783">
        <f ca="1">ROUND(IF(M10="押一",M6*M8*M7/12*M11,IF(M10="押二",M6*M8*M7/12*2*M11,IF(M10="押三",M6*M8*M7/12*3*M11,J11*M11)))/10000,0)</f>
        <v>0</v>
      </c>
      <c r="K10" s="2524" t="s">
        <v>2472</v>
      </c>
      <c r="L10" s="2521" t="s">
        <v>2470</v>
      </c>
      <c r="M10" s="2644"/>
    </row>
    <row r="11" spans="1:33" ht="18" customHeight="1">
      <c r="A11" s="790"/>
      <c r="B11" s="2518" t="s">
        <v>2580</v>
      </c>
      <c r="C11" s="2522"/>
      <c r="D11" s="789"/>
      <c r="E11" s="2521" t="s">
        <v>2471</v>
      </c>
      <c r="F11" s="796">
        <f ca="1">'数据-取费表'!B39</f>
        <v>1.4999999999999999E-2</v>
      </c>
      <c r="G11" s="1593"/>
      <c r="H11" s="2585"/>
      <c r="I11" s="2518" t="s">
        <v>2580</v>
      </c>
      <c r="J11" s="2522"/>
      <c r="K11" s="2586"/>
      <c r="L11" s="2521" t="s">
        <v>2471</v>
      </c>
      <c r="M11" s="2515">
        <f ca="1">'数据-取费表'!B39</f>
        <v>1.4999999999999999E-2</v>
      </c>
    </row>
    <row r="12" spans="1:33" ht="18" customHeight="1" thickBot="1">
      <c r="A12" s="2560" t="s">
        <v>2474</v>
      </c>
      <c r="B12" s="2561" t="s">
        <v>2466</v>
      </c>
      <c r="C12" s="2562"/>
      <c r="D12" s="2563"/>
      <c r="E12" s="2564"/>
      <c r="F12" s="2565"/>
      <c r="G12" s="1593"/>
      <c r="H12" s="2574" t="s">
        <v>2477</v>
      </c>
      <c r="I12" s="2587" t="s">
        <v>2466</v>
      </c>
      <c r="J12" s="2588"/>
      <c r="K12" s="2563"/>
      <c r="L12" s="2564"/>
      <c r="M12" s="2577"/>
    </row>
    <row r="13" spans="1:33" ht="18" customHeight="1" thickTop="1">
      <c r="A13" s="1831">
        <v>2</v>
      </c>
      <c r="B13" s="1829" t="s">
        <v>1744</v>
      </c>
      <c r="C13" s="792">
        <f ca="1">ROUND(C29*F13,0)</f>
        <v>0</v>
      </c>
      <c r="D13" s="1836" t="s">
        <v>2301</v>
      </c>
      <c r="E13" s="1836" t="s">
        <v>1746</v>
      </c>
      <c r="F13" s="2559">
        <f ca="1">INDIRECT("'数据-取费表'!y"&amp;$G$1)</f>
        <v>0</v>
      </c>
      <c r="G13" s="1593"/>
      <c r="H13" s="1831">
        <v>2</v>
      </c>
      <c r="I13" s="1829" t="s">
        <v>1744</v>
      </c>
      <c r="J13" s="1821">
        <f ca="1">ROUND(J14*J15,0)</f>
        <v>0</v>
      </c>
      <c r="K13" s="1823" t="s">
        <v>1745</v>
      </c>
      <c r="L13" s="2575"/>
      <c r="M13" s="2576"/>
    </row>
    <row r="14" spans="1:33" ht="18" customHeight="1">
      <c r="A14" s="1649" t="s">
        <v>1886</v>
      </c>
      <c r="B14" s="784" t="s">
        <v>646</v>
      </c>
      <c r="C14" s="804">
        <f ca="1">INDIRECT("'数据-取费表'!m"&amp;$G$1)+INDIRECT("'数据-取费表'!t"&amp;$G$1)</f>
        <v>0</v>
      </c>
      <c r="D14" s="1980" t="s">
        <v>1747</v>
      </c>
      <c r="E14" s="1981"/>
      <c r="F14" s="805"/>
      <c r="G14" s="1593"/>
      <c r="H14" s="1650" t="s">
        <v>1832</v>
      </c>
      <c r="I14" s="2232" t="s">
        <v>2833</v>
      </c>
      <c r="J14" s="53">
        <f ca="1">C29</f>
        <v>0</v>
      </c>
      <c r="K14" s="26"/>
      <c r="L14" s="801"/>
      <c r="M14" s="802"/>
    </row>
    <row r="15" spans="1:33" s="2065" customFormat="1" ht="18" customHeight="1" thickBot="1">
      <c r="A15" s="1649" t="s">
        <v>1887</v>
      </c>
      <c r="B15" s="784" t="s">
        <v>648</v>
      </c>
      <c r="C15" s="53">
        <f ca="1">ROUND(C14*F15,0)</f>
        <v>0</v>
      </c>
      <c r="D15" s="806" t="s">
        <v>1748</v>
      </c>
      <c r="E15" s="806" t="s">
        <v>1749</v>
      </c>
      <c r="F15" s="807">
        <f>'数据-取费表'!B33</f>
        <v>0.03</v>
      </c>
      <c r="G15" s="1594"/>
      <c r="H15" s="2574" t="s">
        <v>1891</v>
      </c>
      <c r="I15" s="2569" t="s">
        <v>1746</v>
      </c>
      <c r="J15" s="2578">
        <f ca="1">INDIRECT("'数据-取费表'!ad"&amp;$G$1)</f>
        <v>0</v>
      </c>
      <c r="K15" s="2579"/>
      <c r="L15" s="2580"/>
      <c r="M15" s="2581"/>
      <c r="N15" s="2064"/>
      <c r="O15" s="2064"/>
      <c r="P15" s="2064"/>
      <c r="Q15" s="2416"/>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09"/>
      <c r="M16" s="2514"/>
    </row>
    <row r="17" spans="1:33" s="2065"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8" t="s">
        <v>1755</v>
      </c>
      <c r="L17" s="2507" t="s">
        <v>1756</v>
      </c>
      <c r="M17" s="810">
        <f ca="1">IF(项目基本情况!B11="企业","",IF(INDIRECT("'数据-取费表'!c"&amp;$G$1)="住宅",5%,IF(M6*M7*M8/12/(1+'数据-取费表'!C42)&gt;20000,12%,7%)))</f>
        <v>7.0000000000000007E-2</v>
      </c>
      <c r="N17" s="2064"/>
      <c r="O17" s="2064"/>
      <c r="P17" s="2064"/>
      <c r="Q17" s="2416"/>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7" t="s">
        <v>1758</v>
      </c>
      <c r="L18" s="784" t="s">
        <v>1749</v>
      </c>
      <c r="M18" s="809">
        <f>'数据-取费表'!B41</f>
        <v>5.6000000000000001E-2</v>
      </c>
      <c r="N18" s="2064"/>
      <c r="O18" s="2064"/>
      <c r="P18" s="2064"/>
      <c r="Q18" s="2416"/>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0</v>
      </c>
      <c r="D19" s="261" t="s">
        <v>1759</v>
      </c>
      <c r="E19" s="1983"/>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50" t="s">
        <v>1891</v>
      </c>
      <c r="B20" s="784" t="s">
        <v>667</v>
      </c>
      <c r="C20" s="53">
        <f ca="1">ROUND(C19*F20,0)</f>
        <v>0</v>
      </c>
      <c r="D20" s="812" t="s">
        <v>1761</v>
      </c>
      <c r="E20" s="784" t="s">
        <v>1749</v>
      </c>
      <c r="F20" s="809">
        <f>'数据-取费表'!B37</f>
        <v>1.4999999999999999E-2</v>
      </c>
      <c r="G20" s="1594"/>
      <c r="H20" s="1652" t="s">
        <v>1882</v>
      </c>
      <c r="I20" s="341" t="s">
        <v>1762</v>
      </c>
      <c r="J20" s="54">
        <f ca="1">ROUND(M20*M21/10000,0)</f>
        <v>0</v>
      </c>
      <c r="K20" s="814" t="s">
        <v>1763</v>
      </c>
      <c r="L20" s="784" t="s">
        <v>1764</v>
      </c>
      <c r="M20" s="640">
        <f>'数据-取费表'!B52</f>
        <v>8</v>
      </c>
      <c r="N20" s="2064"/>
      <c r="O20" s="2064"/>
      <c r="P20" s="2064"/>
      <c r="Q20" s="2416"/>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2302</v>
      </c>
      <c r="E21" s="784" t="s">
        <v>1767</v>
      </c>
      <c r="F21" s="809">
        <f>'数据-取费表'!B38</f>
        <v>0.02</v>
      </c>
      <c r="G21" s="1594"/>
      <c r="H21" s="2529"/>
      <c r="I21" s="793"/>
      <c r="J21" s="69"/>
      <c r="K21" s="816"/>
      <c r="L21" s="784" t="s">
        <v>1768</v>
      </c>
      <c r="M21" s="785">
        <f ca="1">INDIRECT("'数据-取费表'!r"&amp;$G$1)</f>
        <v>0</v>
      </c>
      <c r="N21" s="2064"/>
      <c r="O21" s="2064"/>
      <c r="P21" s="2064"/>
      <c r="Q21" s="2416"/>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5"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0</v>
      </c>
      <c r="K22" s="2507" t="s">
        <v>1771</v>
      </c>
      <c r="L22" s="784" t="s">
        <v>1749</v>
      </c>
      <c r="M22" s="817">
        <f ca="1">INDIRECT("'数据-取费表'!Ak"&amp;$G$1)</f>
        <v>0</v>
      </c>
    </row>
    <row r="23" spans="1:33" s="2065" customFormat="1" ht="18" customHeight="1">
      <c r="A23" s="1649" t="s">
        <v>1833</v>
      </c>
      <c r="B23" s="784" t="s">
        <v>2542</v>
      </c>
      <c r="C23" s="53">
        <f ca="1">ROUND(IF('数据-取费表'!B22&lt;=1,(C19+C20)*F24*F23/2,(C19+C20)*(POWER((1+F24),F23/2)-1)),0)</f>
        <v>0</v>
      </c>
      <c r="D23" s="2594"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7" t="s">
        <v>1773</v>
      </c>
      <c r="L23" s="784" t="s">
        <v>1749</v>
      </c>
      <c r="M23" s="818">
        <f ca="1">INDIRECT("'数据-取费表'!Al"&amp;$G$1)</f>
        <v>0</v>
      </c>
      <c r="N23" s="2064"/>
      <c r="O23" s="2064"/>
      <c r="P23" s="2064"/>
      <c r="Q23" s="2416"/>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1E-3</v>
      </c>
      <c r="D24" s="2594" t="str">
        <f>IF(F23&lt;=1,"销售费用×利率×(建设周期÷2)","销售费用×((1+利率)^(建设周期÷2)-1)")</f>
        <v>销售费用×((1+利率)^(建设周期÷2)-1)</v>
      </c>
      <c r="E24" s="784" t="s">
        <v>1775</v>
      </c>
      <c r="F24" s="819">
        <f ca="1">'数据-取费表'!B40</f>
        <v>4.7500000000000001E-2</v>
      </c>
      <c r="G24" s="1594"/>
      <c r="H24" s="2574" t="s">
        <v>1893</v>
      </c>
      <c r="I24" s="2569" t="s">
        <v>667</v>
      </c>
      <c r="J24" s="2567">
        <f ca="1">ROUND(J5*M24,0)</f>
        <v>0</v>
      </c>
      <c r="K24" s="2568" t="s">
        <v>1776</v>
      </c>
      <c r="L24" s="2569" t="s">
        <v>1749</v>
      </c>
      <c r="M24" s="2565">
        <f ca="1">INDIRECT("'数据-取费表'!Am"&amp;$G$1)</f>
        <v>0</v>
      </c>
      <c r="N24" s="2064"/>
      <c r="O24" s="2064"/>
      <c r="P24" s="2064"/>
      <c r="Q24" s="2416"/>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1" t="s">
        <v>1778</v>
      </c>
      <c r="I25" s="3034" t="s">
        <v>2829</v>
      </c>
      <c r="J25" s="792">
        <f ca="1">J5-J16</f>
        <v>0</v>
      </c>
      <c r="K25" s="2571" t="s">
        <v>1779</v>
      </c>
      <c r="L25" s="2572"/>
      <c r="M25" s="2573"/>
    </row>
    <row r="26" spans="1:33" ht="18" customHeight="1">
      <c r="A26" s="1649" t="s">
        <v>1833</v>
      </c>
      <c r="B26" s="784" t="s">
        <v>2443</v>
      </c>
      <c r="C26" s="53">
        <f ca="1">ROUND((C19+C20)*F26,0)</f>
        <v>0</v>
      </c>
      <c r="D26" s="812" t="s">
        <v>1780</v>
      </c>
      <c r="E26" s="795" t="s">
        <v>1781</v>
      </c>
      <c r="F26" s="794">
        <f ca="1">INDIRECT("'数据-取费表'!q"&amp;$G$1)</f>
        <v>0</v>
      </c>
      <c r="G26" s="1593"/>
      <c r="H26" s="2525" t="s">
        <v>1782</v>
      </c>
      <c r="I26" s="2233" t="s">
        <v>2834</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6"/>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4"/>
      <c r="O28" s="2064"/>
      <c r="P28" s="2064"/>
      <c r="Q28" s="2416"/>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6" t="s">
        <v>1894</v>
      </c>
      <c r="B29" s="2564" t="s">
        <v>2304</v>
      </c>
      <c r="C29" s="2567">
        <f ca="1">ROUND((C19+C20+C23+C26)/(1-F21-C24-C27-C28),0)</f>
        <v>0</v>
      </c>
      <c r="D29" s="2568"/>
      <c r="E29" s="2569"/>
      <c r="F29" s="2570"/>
      <c r="G29" s="1594"/>
      <c r="H29" s="823" t="s">
        <v>1789</v>
      </c>
      <c r="I29" s="824" t="s">
        <v>1790</v>
      </c>
      <c r="J29" s="825">
        <f ca="1">ROUND(J26/(1+F40)^F41,0)</f>
        <v>0</v>
      </c>
      <c r="K29" s="826" t="s">
        <v>1791</v>
      </c>
      <c r="L29" s="827"/>
      <c r="M29" s="828">
        <f ca="1">INDIRECT("'数据-取费表'!k"&amp;$G$1)</f>
        <v>0</v>
      </c>
      <c r="N29" s="2064"/>
      <c r="O29" s="2064"/>
      <c r="P29" s="2064"/>
      <c r="Q29" s="2416"/>
      <c r="R29" s="2064"/>
      <c r="S29" s="2064"/>
      <c r="T29" s="2064"/>
      <c r="U29" s="2064"/>
      <c r="V29" s="2064"/>
      <c r="W29" s="2064"/>
      <c r="X29" s="2064"/>
      <c r="Y29" s="2064"/>
      <c r="Z29" s="2064"/>
      <c r="AA29" s="2064"/>
      <c r="AB29" s="2064"/>
      <c r="AC29" s="2064"/>
      <c r="AD29" s="2064"/>
      <c r="AE29" s="2064"/>
      <c r="AF29" s="2064"/>
      <c r="AG29" s="2064"/>
    </row>
    <row r="30" spans="1:33" ht="18" customHeight="1" thickTop="1">
      <c r="A30" s="1831" t="s">
        <v>1895</v>
      </c>
      <c r="B30" s="1829" t="s">
        <v>1792</v>
      </c>
      <c r="C30" s="792">
        <f ca="1">ROUND(C31+C36+C37+C38,0)</f>
        <v>0</v>
      </c>
      <c r="D30" s="1823" t="s">
        <v>1793</v>
      </c>
      <c r="E30" s="2509"/>
      <c r="F30" s="2514"/>
      <c r="G30" s="2063"/>
      <c r="H30" s="2066"/>
      <c r="I30" s="2067"/>
      <c r="J30" s="2068"/>
      <c r="K30" s="2069"/>
      <c r="L30" s="2070"/>
      <c r="M30" s="2071"/>
    </row>
    <row r="31" spans="1:33" ht="18" customHeight="1">
      <c r="A31" s="1650" t="s">
        <v>1832</v>
      </c>
      <c r="B31" s="784" t="s">
        <v>657</v>
      </c>
      <c r="C31" s="53">
        <f ca="1">ROUND(IF(项目基本情况!B11="自然人",C5*F31,C32+C33+C34),1)</f>
        <v>0</v>
      </c>
      <c r="D31" s="1980" t="s">
        <v>1794</v>
      </c>
      <c r="E31" s="1978" t="s">
        <v>1795</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9" t="s">
        <v>1833</v>
      </c>
      <c r="B32" s="784" t="s">
        <v>1796</v>
      </c>
      <c r="C32" s="53">
        <f ca="1">ROUND(C5*F32/1.05,1)</f>
        <v>0</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0</v>
      </c>
      <c r="D34" s="814" t="s">
        <v>1801</v>
      </c>
      <c r="E34" s="784" t="s">
        <v>1802</v>
      </c>
      <c r="F34" s="640">
        <f>'数据-取费表'!B52</f>
        <v>8</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50"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50"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4" t="s">
        <v>1893</v>
      </c>
      <c r="B38" s="2569" t="s">
        <v>667</v>
      </c>
      <c r="C38" s="2567">
        <f ca="1">ROUND(C5*F38,1)</f>
        <v>0</v>
      </c>
      <c r="D38" s="2568" t="s">
        <v>1807</v>
      </c>
      <c r="E38" s="2569" t="s">
        <v>1798</v>
      </c>
      <c r="F38" s="2565">
        <f ca="1">INDIRECT("'数据-取费表'!Am"&amp;$G$1)</f>
        <v>0</v>
      </c>
      <c r="G38" s="2063"/>
      <c r="H38" s="2078"/>
      <c r="I38" s="843" t="s">
        <v>1819</v>
      </c>
      <c r="J38" s="844"/>
      <c r="K38" s="2084"/>
      <c r="L38" s="2078"/>
      <c r="M38" s="2078"/>
    </row>
    <row r="39" spans="1:18" ht="24.6" customHeight="1" thickTop="1">
      <c r="A39" s="1831" t="s">
        <v>1896</v>
      </c>
      <c r="B39" s="3034" t="s">
        <v>2829</v>
      </c>
      <c r="C39" s="792">
        <f ca="1">C5-C30</f>
        <v>0</v>
      </c>
      <c r="D39" s="2571" t="s">
        <v>1808</v>
      </c>
      <c r="E39" s="2572"/>
      <c r="F39" s="2573"/>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2974</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7" t="e">
        <f ca="1">C67-C40</f>
        <v>#DIV/0!</v>
      </c>
      <c r="D46" s="2086"/>
      <c r="E46" s="2086"/>
      <c r="F46" s="2086"/>
      <c r="I46" s="2377" t="s">
        <v>2347</v>
      </c>
      <c r="J46" s="2378"/>
      <c r="K46" s="2379"/>
      <c r="L46" s="2380" t="str">
        <f ca="1">IF(M47="住宅",0,IF(L48&gt;J51,L60,J60))</f>
        <v>0</v>
      </c>
      <c r="O46" s="2417" t="s">
        <v>2415</v>
      </c>
      <c r="P46" s="1593"/>
      <c r="Q46" s="1605"/>
      <c r="R46" s="1593"/>
    </row>
    <row r="47" spans="1:18" s="2060" customFormat="1" ht="18" customHeight="1" thickBot="1">
      <c r="A47" s="2371">
        <v>1</v>
      </c>
      <c r="B47" s="2372" t="s">
        <v>636</v>
      </c>
      <c r="C47" s="2597">
        <f ca="1">C48+C52+C54</f>
        <v>0</v>
      </c>
      <c r="D47" s="2086"/>
      <c r="E47" s="2086"/>
      <c r="F47" s="2086"/>
      <c r="I47" s="2381" t="s">
        <v>2348</v>
      </c>
      <c r="J47" s="2386"/>
      <c r="K47" s="2387" t="s">
        <v>2354</v>
      </c>
      <c r="L47" s="2388">
        <f ca="1">INDIRECT("'数据-取费表'!d"&amp;$G$1)</f>
        <v>0</v>
      </c>
      <c r="M47" s="1605" t="str">
        <f>IF(ISNUMBER(FIND("住宅",C1)),"住宅","非住宅")</f>
        <v>非住宅</v>
      </c>
      <c r="O47" s="2418" t="s">
        <v>2380</v>
      </c>
      <c r="P47" s="2419" t="s">
        <v>2381</v>
      </c>
      <c r="Q47" s="2420" t="s">
        <v>2382</v>
      </c>
      <c r="R47" s="2419" t="s">
        <v>2383</v>
      </c>
    </row>
    <row r="48" spans="1:18" s="2060" customFormat="1" ht="18" customHeight="1" thickBot="1">
      <c r="A48" s="2666" t="s">
        <v>2544</v>
      </c>
      <c r="B48" s="2667" t="s">
        <v>2545</v>
      </c>
      <c r="C48" s="2373">
        <f ca="1">ROUND(F48*F50*F49*(1-F51)/10000,0)</f>
        <v>0</v>
      </c>
      <c r="D48" s="2374" t="s">
        <v>637</v>
      </c>
      <c r="E48" s="2375" t="s">
        <v>2300</v>
      </c>
      <c r="F48" s="2376"/>
      <c r="G48" s="2091"/>
      <c r="I48" s="2382" t="s">
        <v>2349</v>
      </c>
      <c r="J48" s="2389"/>
      <c r="K48" s="2390" t="s">
        <v>2356</v>
      </c>
      <c r="L48" s="2391">
        <f ca="1">INDIRECT("'数据-取费表'!f"&amp;$G$1)</f>
        <v>0</v>
      </c>
      <c r="O48" s="2421" t="s">
        <v>2384</v>
      </c>
      <c r="P48" s="2422" t="s">
        <v>2410</v>
      </c>
      <c r="Q48" s="2423" t="e">
        <f ca="1">C40+J29</f>
        <v>#DIV/0!</v>
      </c>
      <c r="R48" s="2422" t="s">
        <v>2385</v>
      </c>
    </row>
    <row r="49" spans="1:18" s="2060" customFormat="1" ht="18" customHeight="1" thickBot="1">
      <c r="A49" s="786"/>
      <c r="B49" s="787"/>
      <c r="C49" s="788"/>
      <c r="D49" s="789"/>
      <c r="E49" s="784" t="s">
        <v>1741</v>
      </c>
      <c r="F49" s="785">
        <f ca="1">F7</f>
        <v>0</v>
      </c>
      <c r="G49" s="2091"/>
      <c r="H49" s="2094"/>
      <c r="I49" s="2382" t="s">
        <v>2350</v>
      </c>
      <c r="J49" s="2392"/>
      <c r="K49" s="2393" t="s">
        <v>2357</v>
      </c>
      <c r="L49" s="2394"/>
      <c r="O49" s="2421" t="s">
        <v>2386</v>
      </c>
      <c r="P49" s="2422" t="s">
        <v>2411</v>
      </c>
      <c r="Q49" s="2423" t="str">
        <f ca="1">J60</f>
        <v>0</v>
      </c>
      <c r="R49" s="2422" t="s">
        <v>2387</v>
      </c>
    </row>
    <row r="50" spans="1:18" s="2060" customFormat="1" ht="18" customHeight="1" thickBot="1">
      <c r="A50" s="786"/>
      <c r="B50" s="787"/>
      <c r="C50" s="788"/>
      <c r="D50" s="789"/>
      <c r="E50" s="784" t="s">
        <v>1742</v>
      </c>
      <c r="F50" s="785">
        <f ca="1">F8</f>
        <v>0</v>
      </c>
      <c r="G50" s="2096"/>
      <c r="H50" s="2094"/>
      <c r="I50" s="2382" t="s">
        <v>2351</v>
      </c>
      <c r="J50" s="2395">
        <f>SUMPRODUCT((I63:I65=J47)*(J62:L62=J48)*(J63:L65))</f>
        <v>0</v>
      </c>
      <c r="K50" s="2393" t="s">
        <v>2358</v>
      </c>
      <c r="L50" s="2394"/>
      <c r="O50" s="2424" t="s">
        <v>2388</v>
      </c>
      <c r="P50" s="2422" t="s">
        <v>2412</v>
      </c>
      <c r="Q50" s="2423">
        <f ca="1">C29</f>
        <v>0</v>
      </c>
      <c r="R50" s="2422" t="s">
        <v>2385</v>
      </c>
    </row>
    <row r="51" spans="1:18" s="2060" customFormat="1" ht="18" customHeight="1" thickBot="1">
      <c r="A51" s="786"/>
      <c r="B51" s="787"/>
      <c r="C51" s="788"/>
      <c r="D51" s="789"/>
      <c r="E51" s="784" t="s">
        <v>641</v>
      </c>
      <c r="F51" s="2370"/>
      <c r="H51" s="2094"/>
      <c r="I51" s="2383" t="s">
        <v>2352</v>
      </c>
      <c r="J51" s="2396">
        <f>IF(J49="",J50,J49+J50-YEAR('数据-取费表'!B2))</f>
        <v>0</v>
      </c>
      <c r="K51" s="2382" t="s">
        <v>2359</v>
      </c>
      <c r="L51" s="2397">
        <f ca="1">ROUND(-PV(INDIRECT("'数据-取费表'!h"&amp;$G$1),L48,(C39-C13*J36),0),0)</f>
        <v>0</v>
      </c>
      <c r="O51" s="2424" t="s">
        <v>2389</v>
      </c>
      <c r="P51" s="2422" t="s">
        <v>2390</v>
      </c>
      <c r="Q51" s="2425" t="e">
        <f ca="1">J58</f>
        <v>#VALUE!</v>
      </c>
      <c r="R51" s="2426"/>
    </row>
    <row r="52" spans="1:18" s="2060" customFormat="1" ht="18" customHeight="1" thickBot="1">
      <c r="A52" s="781" t="s">
        <v>2543</v>
      </c>
      <c r="B52" s="2517" t="s">
        <v>2465</v>
      </c>
      <c r="C52" s="799">
        <f ca="1">ROUND(IF(F52="押一",F48*F50*F49/12*F11,IF(F52="押二",F48*F50*F49/12*2*F11,IF(F52="押三",F48*F50*F49/12*3*F11,C53*F11)))/10000,0)</f>
        <v>0</v>
      </c>
      <c r="D52" s="2524" t="s">
        <v>2472</v>
      </c>
      <c r="E52" s="2521" t="s">
        <v>2470</v>
      </c>
      <c r="F52" s="2644"/>
      <c r="I52" s="2384" t="s">
        <v>2426</v>
      </c>
      <c r="J52" s="2398"/>
      <c r="K52" s="2384" t="s">
        <v>2425</v>
      </c>
      <c r="L52" s="2398"/>
      <c r="O52" s="2424" t="s">
        <v>2391</v>
      </c>
      <c r="P52" s="2422" t="s">
        <v>2392</v>
      </c>
      <c r="Q52" s="2425">
        <f>J52</f>
        <v>0</v>
      </c>
      <c r="R52" s="2426"/>
    </row>
    <row r="53" spans="1:18" s="2060" customFormat="1" ht="39.75" customHeight="1" thickBot="1">
      <c r="A53" s="786"/>
      <c r="B53" s="2518" t="s">
        <v>2580</v>
      </c>
      <c r="C53" s="2522"/>
      <c r="D53" s="2524"/>
      <c r="E53" s="2521"/>
      <c r="F53" s="800"/>
      <c r="I53" s="2385" t="s">
        <v>2353</v>
      </c>
      <c r="J53" s="2399" t="b">
        <f>IF(M47="住宅",J51,IF(D1="——",MIN(J51,L48),IF(D1="土地（套用方法）",MIN(J51,L48-'数据-取费表'!B20))))</f>
        <v>0</v>
      </c>
      <c r="K53" s="3749" t="s">
        <v>2976</v>
      </c>
      <c r="L53" s="3750"/>
      <c r="O53" s="2424" t="s">
        <v>2393</v>
      </c>
      <c r="P53" s="2422" t="s">
        <v>2394</v>
      </c>
      <c r="Q53" s="2423" t="b">
        <f>J53</f>
        <v>0</v>
      </c>
      <c r="R53" s="2422" t="s">
        <v>2395</v>
      </c>
    </row>
    <row r="54" spans="1:18" s="2060" customFormat="1" ht="18" customHeight="1" thickBot="1">
      <c r="A54" s="2560" t="s">
        <v>2474</v>
      </c>
      <c r="B54" s="2561" t="s">
        <v>2466</v>
      </c>
      <c r="C54" s="2562"/>
      <c r="D54" s="2524"/>
      <c r="E54" s="2521"/>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1" t="s">
        <v>2396</v>
      </c>
      <c r="P54" s="2422" t="s">
        <v>2413</v>
      </c>
      <c r="Q54" s="2423" t="e">
        <f ca="1">Q48+Q49</f>
        <v>#DIV/0!</v>
      </c>
      <c r="R54" s="2426" t="s">
        <v>2397</v>
      </c>
    </row>
    <row r="55" spans="1:18" s="2060" customFormat="1" ht="18" customHeight="1" thickTop="1" thickBot="1">
      <c r="A55" s="797">
        <v>2</v>
      </c>
      <c r="B55" s="798" t="s">
        <v>645</v>
      </c>
      <c r="C55" s="799">
        <f ca="1">C13</f>
        <v>0</v>
      </c>
      <c r="D55" s="795"/>
      <c r="E55" s="795"/>
      <c r="F55" s="800"/>
      <c r="I55" s="3124" t="s">
        <v>2360</v>
      </c>
      <c r="J55" s="3123" t="e">
        <f ca="1">ROUND(IF(J47="钢混",J57/J50,1-(1-2%)*(J50-J57)/J50),3)</f>
        <v>#VALUE!</v>
      </c>
      <c r="K55" s="2400" t="s">
        <v>2361</v>
      </c>
      <c r="L55" s="2401"/>
      <c r="O55" s="2427" t="s">
        <v>2416</v>
      </c>
      <c r="P55" s="1593"/>
      <c r="Q55" s="1605"/>
      <c r="R55" s="1593"/>
    </row>
    <row r="56" spans="1:18" s="2060" customFormat="1" ht="42.75" customHeight="1" thickBot="1">
      <c r="A56" s="1651"/>
      <c r="B56" s="2232" t="s">
        <v>2306</v>
      </c>
      <c r="C56" s="53">
        <f ca="1">C29</f>
        <v>0</v>
      </c>
      <c r="D56" s="2663"/>
      <c r="E56" s="784"/>
      <c r="F56" s="809"/>
      <c r="I56" s="2402" t="s">
        <v>2362</v>
      </c>
      <c r="J56" s="3147" t="s">
        <v>1680</v>
      </c>
      <c r="K56" s="2382" t="s">
        <v>2367</v>
      </c>
      <c r="L56" s="2391">
        <f ca="1">IF(L48&lt;J51,"——",L48-J51)</f>
        <v>0</v>
      </c>
      <c r="O56" s="2418" t="s">
        <v>2380</v>
      </c>
      <c r="P56" s="2419" t="s">
        <v>2381</v>
      </c>
      <c r="Q56" s="2420" t="s">
        <v>2382</v>
      </c>
      <c r="R56" s="2419" t="s">
        <v>2383</v>
      </c>
    </row>
    <row r="57" spans="1:18" s="2060" customFormat="1" ht="28.5" customHeight="1" thickBot="1">
      <c r="A57" s="797" t="s">
        <v>1750</v>
      </c>
      <c r="B57" s="798" t="s">
        <v>652</v>
      </c>
      <c r="C57" s="799">
        <f ca="1">ROUND(C58+C63+C64+C65,0)</f>
        <v>0</v>
      </c>
      <c r="D57" s="26" t="s">
        <v>1752</v>
      </c>
      <c r="E57" s="2664"/>
      <c r="F57" s="56"/>
      <c r="I57" s="2403" t="s">
        <v>2363</v>
      </c>
      <c r="J57" s="2405" t="str">
        <f ca="1">IF(OR(M47="住宅",J51&lt;L48,J56="是"),"——",J51-L48)</f>
        <v>——</v>
      </c>
      <c r="K57" s="2382" t="s">
        <v>2368</v>
      </c>
      <c r="L57" s="2391">
        <f ca="1">IF(L48&lt;J51,"——",IF(L55="比较法",L49,IF(L55="基准地价",L50,L51)))</f>
        <v>0</v>
      </c>
      <c r="O57" s="2421" t="s">
        <v>2384</v>
      </c>
      <c r="P57" s="2422" t="s">
        <v>2414</v>
      </c>
      <c r="Q57" s="2423" t="e">
        <f ca="1">C40+J29</f>
        <v>#DIV/0!</v>
      </c>
      <c r="R57" s="2422" t="s">
        <v>2385</v>
      </c>
    </row>
    <row r="58" spans="1:18" s="2060" customFormat="1" ht="28.5" customHeight="1" thickBot="1">
      <c r="A58" s="1650" t="s">
        <v>1826</v>
      </c>
      <c r="B58" s="784" t="s">
        <v>657</v>
      </c>
      <c r="C58" s="53">
        <f ca="1">ROUND(IF(项目基本情况!B11="自然人",C47*F58,C59+C60+C61),1)</f>
        <v>0</v>
      </c>
      <c r="D58" s="2662" t="s">
        <v>658</v>
      </c>
      <c r="E58" s="2663" t="s">
        <v>691</v>
      </c>
      <c r="F58" s="810">
        <f ca="1">IF(项目基本情况!B11="企业","",IF(INDIRECT("'数据-取费表'!c"&amp;$G$1)="住宅",5%,IF(F48*F49*F50/12/(1+'数据-取费表'!C42)&gt;20000,12%,7%)))</f>
        <v>7.0000000000000007E-2</v>
      </c>
      <c r="I58" s="2403" t="s">
        <v>2364</v>
      </c>
      <c r="J58" s="3125" t="e">
        <f ca="1">IF(J55&lt;0.4,0.4,J55)</f>
        <v>#VALUE!</v>
      </c>
      <c r="K58" s="2382" t="s">
        <v>2369</v>
      </c>
      <c r="L58" s="2391" t="e">
        <f ca="1">ROUND(POWER(1+L52,L47-L48)*(POWER(1+L52,L48)-1)/(POWER(1+L52,L47)-1),4)</f>
        <v>#DIV/0!</v>
      </c>
      <c r="O58" s="2421" t="s">
        <v>2386</v>
      </c>
      <c r="P58" s="2422" t="s">
        <v>2417</v>
      </c>
      <c r="Q58" s="2423" t="e">
        <f ca="1">L60</f>
        <v>#DIV/0!</v>
      </c>
      <c r="R58" s="2426" t="s">
        <v>2419</v>
      </c>
    </row>
    <row r="59" spans="1:18" s="2060" customFormat="1" ht="28.5" customHeight="1" thickBot="1">
      <c r="A59" s="1649" t="s">
        <v>1833</v>
      </c>
      <c r="B59" s="784" t="s">
        <v>661</v>
      </c>
      <c r="C59" s="53">
        <f ca="1">ROUND(C47*F59/1.05,1)</f>
        <v>0</v>
      </c>
      <c r="D59" s="2663" t="s">
        <v>1758</v>
      </c>
      <c r="E59" s="784" t="s">
        <v>1749</v>
      </c>
      <c r="F59" s="809">
        <f t="shared" ref="F59:F65" si="0">F32</f>
        <v>5.6000000000000001E-2</v>
      </c>
      <c r="I59" s="2403" t="s">
        <v>2365</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2388</v>
      </c>
      <c r="P59" s="2422" t="s">
        <v>2418</v>
      </c>
      <c r="Q59" s="2423">
        <f>IF(L55="比较法",L49,IF(L55="基准地价",L50,0))</f>
        <v>0</v>
      </c>
      <c r="R59" s="2422" t="s">
        <v>2385</v>
      </c>
    </row>
    <row r="60" spans="1:18" s="2060" customFormat="1" ht="18" customHeight="1" thickBot="1">
      <c r="A60" s="1649" t="s">
        <v>1834</v>
      </c>
      <c r="B60" s="784" t="s">
        <v>1760</v>
      </c>
      <c r="C60" s="53">
        <f ca="1">IF(D60="按租金收入计税",ROUND(C47*F60,1),IF(D60="按房产原值计税",ROUND(C56*F60*0.7,1),INDIRECT("'数据-取费表'!Aj"&amp;$G$1)))</f>
        <v>0</v>
      </c>
      <c r="D60" s="2663" t="str">
        <f>D33</f>
        <v>按房产原值计税</v>
      </c>
      <c r="E60" s="784" t="s">
        <v>1749</v>
      </c>
      <c r="F60" s="809">
        <f t="shared" si="0"/>
        <v>1.2E-2</v>
      </c>
      <c r="I60" s="2404" t="s">
        <v>2366</v>
      </c>
      <c r="J60" s="2406" t="str">
        <f ca="1">IF(OR(M47="住宅",J51&lt;L48,J56="是"),"0",ROUND(J59/(1+J52)^J53,0))</f>
        <v>0</v>
      </c>
      <c r="K60" s="2407" t="s">
        <v>2371</v>
      </c>
      <c r="L60" s="2406" t="e">
        <f ca="1">IF(OR(M47="住宅",L48&lt;J51),0,ROUND(L57*(L58/L59-1),0))</f>
        <v>#DIV/0!</v>
      </c>
      <c r="O60" s="2424" t="s">
        <v>2389</v>
      </c>
      <c r="P60" s="2422" t="s">
        <v>2398</v>
      </c>
      <c r="Q60" s="2425">
        <f>L52</f>
        <v>0</v>
      </c>
      <c r="R60" s="2426"/>
    </row>
    <row r="61" spans="1:18" s="2060" customFormat="1" ht="18" customHeight="1" thickBot="1">
      <c r="A61" s="1652" t="s">
        <v>1835</v>
      </c>
      <c r="B61" s="341" t="s">
        <v>669</v>
      </c>
      <c r="C61" s="54">
        <f ca="1">ROUND(F61*F62/10000,1)</f>
        <v>0</v>
      </c>
      <c r="D61" s="814" t="s">
        <v>670</v>
      </c>
      <c r="E61" s="784" t="s">
        <v>671</v>
      </c>
      <c r="F61" s="640">
        <f t="shared" si="0"/>
        <v>8</v>
      </c>
      <c r="K61" s="2087"/>
      <c r="O61" s="2424" t="s">
        <v>2391</v>
      </c>
      <c r="P61" s="2422" t="s">
        <v>2399</v>
      </c>
      <c r="Q61" s="2423" t="e">
        <f ca="1">L58</f>
        <v>#DIV/0!</v>
      </c>
      <c r="R61" s="2426" t="s">
        <v>2400</v>
      </c>
    </row>
    <row r="62" spans="1:18" s="2060" customFormat="1" ht="15.75" thickBot="1">
      <c r="A62" s="815"/>
      <c r="B62" s="793"/>
      <c r="C62" s="69"/>
      <c r="D62" s="816"/>
      <c r="E62" s="784" t="s">
        <v>675</v>
      </c>
      <c r="F62" s="785">
        <f t="shared" ca="1" si="0"/>
        <v>0</v>
      </c>
      <c r="I62" s="2408" t="s">
        <v>2372</v>
      </c>
      <c r="J62" s="2409" t="s">
        <v>2373</v>
      </c>
      <c r="K62" s="2409" t="s">
        <v>2374</v>
      </c>
      <c r="L62" s="2409" t="s">
        <v>2355</v>
      </c>
      <c r="M62" s="3126" t="s">
        <v>2951</v>
      </c>
      <c r="O62" s="2424" t="s">
        <v>2393</v>
      </c>
      <c r="P62" s="2422" t="str">
        <f>K59</f>
        <v>建设期及建筑物耐用年限下的土地年期修正系数Kn</v>
      </c>
      <c r="Q62" s="2423" t="e">
        <f ca="1">L59</f>
        <v>#DIV/0!</v>
      </c>
      <c r="R62" s="2426" t="s">
        <v>2402</v>
      </c>
    </row>
    <row r="63" spans="1:18" s="2060" customFormat="1" ht="15.75" thickBot="1">
      <c r="A63" s="1650" t="s">
        <v>1891</v>
      </c>
      <c r="B63" s="784" t="s">
        <v>677</v>
      </c>
      <c r="C63" s="53">
        <f ca="1">ROUND(C56*F63,1)</f>
        <v>0</v>
      </c>
      <c r="D63" s="2663" t="s">
        <v>1805</v>
      </c>
      <c r="E63" s="784" t="s">
        <v>1749</v>
      </c>
      <c r="F63" s="817">
        <f t="shared" ca="1" si="0"/>
        <v>0</v>
      </c>
      <c r="I63" s="2408" t="s">
        <v>2375</v>
      </c>
      <c r="J63" s="2409">
        <v>70</v>
      </c>
      <c r="K63" s="2409">
        <v>50</v>
      </c>
      <c r="L63" s="2409">
        <v>80</v>
      </c>
      <c r="M63" s="3127">
        <v>0.02</v>
      </c>
      <c r="O63" s="2421" t="s">
        <v>2396</v>
      </c>
      <c r="P63" s="2422" t="s">
        <v>2413</v>
      </c>
      <c r="Q63" s="2423" t="e">
        <f ca="1">Q57+Q58</f>
        <v>#DIV/0!</v>
      </c>
      <c r="R63" s="2426" t="s">
        <v>2397</v>
      </c>
    </row>
    <row r="64" spans="1:18" s="2060" customFormat="1" ht="16.5" thickBot="1">
      <c r="A64" s="1650" t="s">
        <v>1892</v>
      </c>
      <c r="B64" s="784" t="s">
        <v>680</v>
      </c>
      <c r="C64" s="53">
        <f ca="1">ROUND(C55*F64,1)</f>
        <v>0</v>
      </c>
      <c r="D64" s="2663" t="s">
        <v>681</v>
      </c>
      <c r="E64" s="784" t="s">
        <v>1749</v>
      </c>
      <c r="F64" s="818">
        <f t="shared" ca="1" si="0"/>
        <v>0</v>
      </c>
      <c r="I64" s="2408" t="s">
        <v>2376</v>
      </c>
      <c r="J64" s="2409">
        <v>50</v>
      </c>
      <c r="K64" s="2409">
        <v>35</v>
      </c>
      <c r="L64" s="2409">
        <v>60</v>
      </c>
      <c r="M64" s="3128">
        <v>0</v>
      </c>
      <c r="O64" s="2427" t="s">
        <v>2420</v>
      </c>
      <c r="P64" s="1593"/>
      <c r="Q64" s="1605"/>
      <c r="R64" s="1593"/>
    </row>
    <row r="65" spans="1:18" s="2060" customFormat="1" ht="15.75" thickBot="1">
      <c r="A65" s="1650" t="s">
        <v>1893</v>
      </c>
      <c r="B65" s="784" t="s">
        <v>667</v>
      </c>
      <c r="C65" s="53">
        <f ca="1">ROUND(C47*F65,1)</f>
        <v>0</v>
      </c>
      <c r="D65" s="2663" t="s">
        <v>684</v>
      </c>
      <c r="E65" s="784" t="s">
        <v>1749</v>
      </c>
      <c r="F65" s="794">
        <f t="shared" ca="1" si="0"/>
        <v>0</v>
      </c>
      <c r="I65" s="2408" t="s">
        <v>2377</v>
      </c>
      <c r="J65" s="2409">
        <v>40</v>
      </c>
      <c r="K65" s="2409">
        <v>30</v>
      </c>
      <c r="L65" s="2409">
        <v>50</v>
      </c>
      <c r="M65" s="3127">
        <v>0.02</v>
      </c>
      <c r="O65" s="2418" t="s">
        <v>2380</v>
      </c>
      <c r="P65" s="2419" t="s">
        <v>2381</v>
      </c>
      <c r="Q65" s="2420" t="s">
        <v>2382</v>
      </c>
      <c r="R65" s="2419" t="s">
        <v>2383</v>
      </c>
    </row>
    <row r="66" spans="1:18" s="2060" customFormat="1" ht="24.75" thickBot="1">
      <c r="A66" s="797" t="s">
        <v>1778</v>
      </c>
      <c r="B66" s="3035" t="s">
        <v>2829</v>
      </c>
      <c r="C66" s="799">
        <f ca="1">C47-C57</f>
        <v>0</v>
      </c>
      <c r="D66" s="2662" t="s">
        <v>701</v>
      </c>
      <c r="E66" s="2661"/>
      <c r="F66" s="820"/>
      <c r="K66" s="2087"/>
      <c r="O66" s="2421" t="s">
        <v>2384</v>
      </c>
      <c r="P66" s="2422" t="s">
        <v>2414</v>
      </c>
      <c r="Q66" s="2423" t="e">
        <f ca="1">C40+J29</f>
        <v>#DIV/0!</v>
      </c>
      <c r="R66" s="2422" t="s">
        <v>2385</v>
      </c>
    </row>
    <row r="67" spans="1:18" s="2060" customFormat="1" ht="20.25" thickBot="1">
      <c r="A67" s="781" t="s">
        <v>1782</v>
      </c>
      <c r="B67" s="2233" t="s">
        <v>2305</v>
      </c>
      <c r="C67" s="783" t="e">
        <f ca="1">ROUND(C66*(1-((1+F69)/(1+F67))^F68)/(F67-F69),0)</f>
        <v>#DIV/0!</v>
      </c>
      <c r="D67" s="814" t="s">
        <v>705</v>
      </c>
      <c r="E67" s="784" t="s">
        <v>706</v>
      </c>
      <c r="F67" s="794">
        <f ca="1">F40</f>
        <v>0</v>
      </c>
      <c r="K67" s="2087"/>
      <c r="O67" s="2421" t="s">
        <v>2386</v>
      </c>
      <c r="P67" s="2422" t="s">
        <v>2417</v>
      </c>
      <c r="Q67" s="2423" t="e">
        <f ca="1">L60</f>
        <v>#DIV/0!</v>
      </c>
      <c r="R67" s="2426" t="s">
        <v>2419</v>
      </c>
    </row>
    <row r="68" spans="1:18" ht="21.75" thickBot="1">
      <c r="A68" s="786"/>
      <c r="B68" s="787"/>
      <c r="C68" s="788"/>
      <c r="D68" s="821" t="s">
        <v>1810</v>
      </c>
      <c r="E68" s="784" t="s">
        <v>1786</v>
      </c>
      <c r="F68" s="822">
        <f ca="1">F41</f>
        <v>0</v>
      </c>
      <c r="O68" s="2424" t="s">
        <v>2388</v>
      </c>
      <c r="P68" s="2422" t="s">
        <v>2418</v>
      </c>
      <c r="Q68" s="2428">
        <f ca="1">L51</f>
        <v>0</v>
      </c>
      <c r="R68" s="2429" t="s">
        <v>2421</v>
      </c>
    </row>
    <row r="69" spans="1:18" ht="20.25" thickBot="1">
      <c r="A69" s="790"/>
      <c r="B69" s="791"/>
      <c r="C69" s="792"/>
      <c r="D69" s="816"/>
      <c r="E69" s="784" t="s">
        <v>711</v>
      </c>
      <c r="F69" s="2370"/>
      <c r="O69" s="2424" t="s">
        <v>2389</v>
      </c>
      <c r="P69" s="2430" t="s">
        <v>2403</v>
      </c>
      <c r="Q69" s="2423">
        <f ca="1">ROUND(Q70-Q71*Q72,0)</f>
        <v>0</v>
      </c>
      <c r="R69" s="2426"/>
    </row>
    <row r="70" spans="1:18" ht="15.75" thickBot="1">
      <c r="A70" s="823" t="s">
        <v>1789</v>
      </c>
      <c r="B70" s="824" t="s">
        <v>1812</v>
      </c>
      <c r="C70" s="825" t="e">
        <f ca="1">ROUND(C67*10000/F70,0)</f>
        <v>#DIV/0!</v>
      </c>
      <c r="D70" s="826" t="s">
        <v>1813</v>
      </c>
      <c r="E70" s="827" t="s">
        <v>1814</v>
      </c>
      <c r="F70" s="828">
        <f ca="1">F43</f>
        <v>0</v>
      </c>
      <c r="O70" s="2424" t="s">
        <v>2404</v>
      </c>
      <c r="P70" s="2430" t="s">
        <v>2405</v>
      </c>
      <c r="Q70" s="2423">
        <f ca="1">C39</f>
        <v>0</v>
      </c>
      <c r="R70" s="2422" t="s">
        <v>2385</v>
      </c>
    </row>
    <row r="71" spans="1:18" ht="15.75" thickBot="1">
      <c r="O71" s="2424" t="s">
        <v>2406</v>
      </c>
      <c r="P71" s="2430" t="s">
        <v>2407</v>
      </c>
      <c r="Q71" s="2423">
        <f ca="1">C13</f>
        <v>0</v>
      </c>
      <c r="R71" s="2422" t="s">
        <v>2385</v>
      </c>
    </row>
    <row r="72" spans="1:18" ht="15.75" thickBot="1">
      <c r="O72" s="2424" t="s">
        <v>2408</v>
      </c>
      <c r="P72" s="2430" t="s">
        <v>2409</v>
      </c>
      <c r="Q72" s="2425">
        <f ca="1">J36</f>
        <v>0</v>
      </c>
      <c r="R72" s="2426"/>
    </row>
    <row r="73" spans="1:18" ht="15.75" thickBot="1">
      <c r="O73" s="2424" t="s">
        <v>2391</v>
      </c>
      <c r="P73" s="2422" t="s">
        <v>2398</v>
      </c>
      <c r="Q73" s="2425">
        <f>L52</f>
        <v>0</v>
      </c>
      <c r="R73" s="2426"/>
    </row>
    <row r="74" spans="1:18" ht="20.25" thickBot="1">
      <c r="O74" s="2424" t="s">
        <v>2393</v>
      </c>
      <c r="P74" s="2422" t="s">
        <v>2399</v>
      </c>
      <c r="Q74" s="2423" t="e">
        <f ca="1">L58</f>
        <v>#DIV/0!</v>
      </c>
      <c r="R74" s="2426" t="s">
        <v>2400</v>
      </c>
    </row>
    <row r="75" spans="1:18" ht="15.75" thickBot="1">
      <c r="O75" s="2424" t="s">
        <v>2422</v>
      </c>
      <c r="P75" s="2422" t="str">
        <f>K59</f>
        <v>建设期及建筑物耐用年限下的土地年期修正系数Kn</v>
      </c>
      <c r="Q75" s="2423" t="e">
        <f ca="1">L59</f>
        <v>#DIV/0!</v>
      </c>
      <c r="R75" s="2426" t="s">
        <v>2402</v>
      </c>
    </row>
    <row r="76" spans="1:18" ht="15.75" thickBot="1">
      <c r="O76" s="2421" t="s">
        <v>2396</v>
      </c>
      <c r="P76" s="2422" t="s">
        <v>2413</v>
      </c>
      <c r="Q76" s="2423" t="e">
        <f ca="1">Q66+Q67</f>
        <v>#DIV/0!</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2" t="str">
        <f>项目基本情况!B1</f>
        <v>出让国有建设用地使用权预评估</v>
      </c>
      <c r="C37" s="3492"/>
      <c r="D37" s="3492"/>
      <c r="E37" s="3492"/>
      <c r="F37" s="3492"/>
      <c r="G37" s="3492"/>
      <c r="H37" s="3492"/>
      <c r="I37" s="3492"/>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767" t="s">
        <v>2478</v>
      </c>
      <c r="B1" s="3768"/>
      <c r="C1" s="3769"/>
      <c r="D1" s="3770">
        <f>SUM(I10,I15,I20,I21,I23)</f>
        <v>0</v>
      </c>
      <c r="E1" s="3770"/>
      <c r="F1" s="3770"/>
      <c r="G1" s="3770"/>
      <c r="H1" s="3770"/>
      <c r="I1" s="3771"/>
    </row>
    <row r="2" spans="1:9">
      <c r="A2" s="3757" t="s">
        <v>2479</v>
      </c>
      <c r="B2" s="3758" t="s">
        <v>2480</v>
      </c>
      <c r="C2" s="3758"/>
      <c r="D2" s="2530" t="s">
        <v>2481</v>
      </c>
      <c r="E2" s="2530" t="s">
        <v>2482</v>
      </c>
      <c r="F2" s="2530" t="s">
        <v>2483</v>
      </c>
      <c r="G2" s="2530" t="s">
        <v>2484</v>
      </c>
      <c r="H2" s="2530" t="s">
        <v>2485</v>
      </c>
      <c r="I2" s="2531" t="s">
        <v>2486</v>
      </c>
    </row>
    <row r="3" spans="1:9">
      <c r="A3" s="3757"/>
      <c r="B3" s="3758" t="s">
        <v>2487</v>
      </c>
      <c r="C3" s="3758"/>
      <c r="D3" s="2532"/>
      <c r="E3" s="2530"/>
      <c r="F3" s="2533"/>
      <c r="G3" s="2533"/>
      <c r="H3" s="2534"/>
      <c r="I3" s="2535">
        <f>ROUND(D3*E3*F3*G3*H3/10000,0)</f>
        <v>0</v>
      </c>
    </row>
    <row r="4" spans="1:9">
      <c r="A4" s="3757"/>
      <c r="B4" s="3758" t="s">
        <v>2488</v>
      </c>
      <c r="C4" s="3758"/>
      <c r="D4" s="2532"/>
      <c r="E4" s="2530"/>
      <c r="F4" s="2533"/>
      <c r="G4" s="2533"/>
      <c r="H4" s="2534"/>
      <c r="I4" s="2535">
        <f t="shared" ref="I4:I9" si="0">ROUND(D4*E4*F4*G4*H4/10000,0)</f>
        <v>0</v>
      </c>
    </row>
    <row r="5" spans="1:9">
      <c r="A5" s="3757"/>
      <c r="B5" s="3758" t="s">
        <v>2489</v>
      </c>
      <c r="C5" s="3758"/>
      <c r="D5" s="2532"/>
      <c r="E5" s="2530"/>
      <c r="F5" s="2533"/>
      <c r="G5" s="2533"/>
      <c r="H5" s="2534"/>
      <c r="I5" s="2535">
        <f t="shared" si="0"/>
        <v>0</v>
      </c>
    </row>
    <row r="6" spans="1:9">
      <c r="A6" s="3757"/>
      <c r="B6" s="3758" t="s">
        <v>2490</v>
      </c>
      <c r="C6" s="3758"/>
      <c r="D6" s="2532"/>
      <c r="E6" s="2530"/>
      <c r="F6" s="2533"/>
      <c r="G6" s="2533"/>
      <c r="H6" s="2534"/>
      <c r="I6" s="2535">
        <f t="shared" si="0"/>
        <v>0</v>
      </c>
    </row>
    <row r="7" spans="1:9">
      <c r="A7" s="3757"/>
      <c r="B7" s="3758" t="s">
        <v>2491</v>
      </c>
      <c r="C7" s="3758"/>
      <c r="D7" s="2532"/>
      <c r="E7" s="2530"/>
      <c r="F7" s="2533"/>
      <c r="G7" s="2533"/>
      <c r="H7" s="2534"/>
      <c r="I7" s="2535">
        <f t="shared" si="0"/>
        <v>0</v>
      </c>
    </row>
    <row r="8" spans="1:9">
      <c r="A8" s="3757"/>
      <c r="B8" s="3758" t="s">
        <v>2492</v>
      </c>
      <c r="C8" s="3758"/>
      <c r="D8" s="2532"/>
      <c r="E8" s="2530"/>
      <c r="F8" s="2533"/>
      <c r="G8" s="2533"/>
      <c r="H8" s="2534"/>
      <c r="I8" s="2535">
        <f t="shared" si="0"/>
        <v>0</v>
      </c>
    </row>
    <row r="9" spans="1:9">
      <c r="A9" s="3757"/>
      <c r="B9" s="3758" t="s">
        <v>2493</v>
      </c>
      <c r="C9" s="3758"/>
      <c r="D9" s="2532"/>
      <c r="E9" s="2530"/>
      <c r="F9" s="2533"/>
      <c r="G9" s="2533"/>
      <c r="H9" s="2534"/>
      <c r="I9" s="2535">
        <f t="shared" si="0"/>
        <v>0</v>
      </c>
    </row>
    <row r="10" spans="1:9">
      <c r="A10" s="3757"/>
      <c r="B10" s="3759" t="s">
        <v>2494</v>
      </c>
      <c r="C10" s="3759"/>
      <c r="D10" s="2536">
        <v>527</v>
      </c>
      <c r="E10" s="2536" t="e">
        <f>ROUND(D1*10000/D10/H9,0)</f>
        <v>#DIV/0!</v>
      </c>
      <c r="F10" s="2537"/>
      <c r="G10" s="2537"/>
      <c r="H10" s="2538"/>
      <c r="I10" s="2539">
        <f>SUM(I3:I9)</f>
        <v>0</v>
      </c>
    </row>
    <row r="11" spans="1:9" ht="14.25">
      <c r="A11" s="3757" t="s">
        <v>2495</v>
      </c>
      <c r="B11" s="3758" t="s">
        <v>2496</v>
      </c>
      <c r="C11" s="3758"/>
      <c r="D11" s="2532" t="s">
        <v>2497</v>
      </c>
      <c r="E11" s="2532" t="s">
        <v>2498</v>
      </c>
      <c r="F11" s="2533" t="s">
        <v>2499</v>
      </c>
      <c r="G11" s="2533" t="s">
        <v>2500</v>
      </c>
      <c r="H11" s="2540" t="s">
        <v>2501</v>
      </c>
      <c r="I11" s="2531" t="s">
        <v>2502</v>
      </c>
    </row>
    <row r="12" spans="1:9">
      <c r="A12" s="3757"/>
      <c r="B12" s="3758" t="s">
        <v>2503</v>
      </c>
      <c r="C12" s="3758"/>
      <c r="D12" s="2532"/>
      <c r="E12" s="2532"/>
      <c r="F12" s="2533"/>
      <c r="G12" s="2534"/>
      <c r="H12" s="2541"/>
      <c r="I12" s="2531">
        <f>ROUND(D12*E12*F12*G12/10000,0)</f>
        <v>0</v>
      </c>
    </row>
    <row r="13" spans="1:9">
      <c r="A13" s="3757"/>
      <c r="B13" s="3758" t="s">
        <v>2504</v>
      </c>
      <c r="C13" s="3758"/>
      <c r="D13" s="2532"/>
      <c r="E13" s="2532"/>
      <c r="F13" s="2533"/>
      <c r="G13" s="2534"/>
      <c r="H13" s="2541"/>
      <c r="I13" s="2531">
        <f>ROUND(D13*E13*F13*G13/10000,0)</f>
        <v>0</v>
      </c>
    </row>
    <row r="14" spans="1:9">
      <c r="A14" s="3757"/>
      <c r="B14" s="3758" t="s">
        <v>2505</v>
      </c>
      <c r="C14" s="3758"/>
      <c r="D14" s="2532"/>
      <c r="E14" s="2532"/>
      <c r="F14" s="2533"/>
      <c r="G14" s="2534"/>
      <c r="H14" s="2541"/>
      <c r="I14" s="2531">
        <f>ROUND(D14*E14*F14*G14/10000,0)</f>
        <v>0</v>
      </c>
    </row>
    <row r="15" spans="1:9">
      <c r="A15" s="3757"/>
      <c r="B15" s="3759" t="s">
        <v>2494</v>
      </c>
      <c r="C15" s="3759"/>
      <c r="D15" s="2536"/>
      <c r="E15" s="2536">
        <f>SUM(E12:E14)</f>
        <v>0</v>
      </c>
      <c r="F15" s="2537"/>
      <c r="G15" s="2534"/>
      <c r="H15" s="2541"/>
      <c r="I15" s="2542">
        <f>SUM(I12:I14)</f>
        <v>0</v>
      </c>
    </row>
    <row r="16" spans="1:9" ht="24">
      <c r="A16" s="3757" t="s">
        <v>2506</v>
      </c>
      <c r="B16" s="3758" t="s">
        <v>2507</v>
      </c>
      <c r="C16" s="3758"/>
      <c r="D16" s="2532" t="s">
        <v>2508</v>
      </c>
      <c r="E16" s="2543" t="s">
        <v>2509</v>
      </c>
      <c r="F16" s="2533" t="s">
        <v>2510</v>
      </c>
      <c r="G16" s="2534" t="s">
        <v>2500</v>
      </c>
      <c r="H16" s="2540" t="s">
        <v>2501</v>
      </c>
      <c r="I16" s="2531" t="s">
        <v>2502</v>
      </c>
    </row>
    <row r="17" spans="1:9" ht="14.25">
      <c r="A17" s="3757"/>
      <c r="B17" s="3758" t="s">
        <v>2511</v>
      </c>
      <c r="C17" s="3758"/>
      <c r="D17" s="2532"/>
      <c r="E17" s="2532"/>
      <c r="F17" s="2533"/>
      <c r="G17" s="2534"/>
      <c r="H17" s="2544"/>
      <c r="I17" s="2545">
        <f>ROUND(D17*E17*F17*G17/10000,0)</f>
        <v>0</v>
      </c>
    </row>
    <row r="18" spans="1:9" ht="14.25">
      <c r="A18" s="3757"/>
      <c r="B18" s="3758" t="s">
        <v>2512</v>
      </c>
      <c r="C18" s="3758"/>
      <c r="D18" s="2532"/>
      <c r="E18" s="2532"/>
      <c r="F18" s="2533"/>
      <c r="G18" s="2534"/>
      <c r="H18" s="2544"/>
      <c r="I18" s="2545">
        <f>ROUND(D18*E18*F18*G18/10000,0)</f>
        <v>0</v>
      </c>
    </row>
    <row r="19" spans="1:9" ht="14.25">
      <c r="A19" s="3757"/>
      <c r="B19" s="3758" t="s">
        <v>2513</v>
      </c>
      <c r="C19" s="3758"/>
      <c r="D19" s="2532"/>
      <c r="E19" s="2532"/>
      <c r="F19" s="2533"/>
      <c r="G19" s="2534"/>
      <c r="H19" s="2544"/>
      <c r="I19" s="2545">
        <f>ROUND(D19*E19*F19*G19/10000,0)</f>
        <v>0</v>
      </c>
    </row>
    <row r="20" spans="1:9">
      <c r="A20" s="3757"/>
      <c r="B20" s="3759" t="s">
        <v>2494</v>
      </c>
      <c r="C20" s="3759"/>
      <c r="D20" s="2536">
        <f>SUM(D17:D19)</f>
        <v>0</v>
      </c>
      <c r="E20" s="2536"/>
      <c r="F20" s="2537"/>
      <c r="G20" s="2534"/>
      <c r="H20" s="2541"/>
      <c r="I20" s="2542">
        <f>SUM(I17:I19)</f>
        <v>0</v>
      </c>
    </row>
    <row r="21" spans="1:9">
      <c r="A21" s="3757" t="s">
        <v>2514</v>
      </c>
      <c r="B21" s="3760"/>
      <c r="C21" s="3760"/>
      <c r="D21" s="3760"/>
      <c r="E21" s="3760"/>
      <c r="F21" s="3760"/>
      <c r="G21" s="3760"/>
      <c r="H21" s="2546">
        <v>0.1</v>
      </c>
      <c r="I21" s="2539">
        <f>ROUND(I10*H21,0)</f>
        <v>0</v>
      </c>
    </row>
    <row r="22" spans="1:9" ht="14.25">
      <c r="A22" s="3761" t="s">
        <v>2515</v>
      </c>
      <c r="B22" s="3762"/>
      <c r="C22" s="3763"/>
      <c r="D22" s="2547" t="s">
        <v>2516</v>
      </c>
      <c r="E22" s="2547" t="s">
        <v>2517</v>
      </c>
      <c r="F22" s="2548" t="s">
        <v>2518</v>
      </c>
      <c r="G22" s="2548" t="s">
        <v>2519</v>
      </c>
      <c r="H22" s="2540" t="s">
        <v>2520</v>
      </c>
      <c r="I22" s="2531" t="s">
        <v>2521</v>
      </c>
    </row>
    <row r="23" spans="1:9" ht="14.25" thickBot="1">
      <c r="A23" s="3764"/>
      <c r="B23" s="3765"/>
      <c r="C23" s="3766"/>
      <c r="D23" s="2549"/>
      <c r="E23" s="2549"/>
      <c r="F23" s="2549"/>
      <c r="G23" s="2550"/>
      <c r="H23" s="2551"/>
      <c r="I23" s="2552">
        <f>ROUND(E23*D23*F23*(1-G23)/10000,0)</f>
        <v>0</v>
      </c>
    </row>
    <row r="26" spans="1:9">
      <c r="A26" s="2553" t="s">
        <v>2522</v>
      </c>
      <c r="B26" s="2553"/>
      <c r="C26" s="2553"/>
      <c r="D26" s="2553"/>
      <c r="E26" s="3754">
        <f>C27-C30-C31-C32</f>
        <v>0</v>
      </c>
      <c r="F26" s="3754"/>
      <c r="G26" s="3754"/>
      <c r="H26" s="3066" t="s">
        <v>2850</v>
      </c>
    </row>
    <row r="27" spans="1:9">
      <c r="A27" s="2554">
        <v>1</v>
      </c>
      <c r="B27" s="2555" t="s">
        <v>2523</v>
      </c>
      <c r="C27" s="2555"/>
      <c r="D27" s="2555"/>
      <c r="E27" s="3755"/>
      <c r="F27" s="3755"/>
      <c r="G27" s="3755"/>
    </row>
    <row r="28" spans="1:9">
      <c r="A28" s="2556" t="s">
        <v>2524</v>
      </c>
      <c r="B28" s="2555" t="s">
        <v>2525</v>
      </c>
      <c r="C28" s="2555"/>
      <c r="D28" s="2555"/>
      <c r="E28" s="3755"/>
      <c r="F28" s="3755"/>
      <c r="G28" s="3755"/>
    </row>
    <row r="29" spans="1:9">
      <c r="A29" s="2556" t="s">
        <v>2526</v>
      </c>
      <c r="B29" s="2555" t="s">
        <v>2466</v>
      </c>
      <c r="C29" s="2555"/>
      <c r="D29" s="2555"/>
      <c r="E29" s="2555" t="s">
        <v>2527</v>
      </c>
      <c r="F29" s="2555"/>
      <c r="G29" s="2555"/>
    </row>
    <row r="30" spans="1:9">
      <c r="A30" s="2554">
        <v>2</v>
      </c>
      <c r="B30" s="2555" t="s">
        <v>2528</v>
      </c>
      <c r="C30" s="2555">
        <f>C27*D30</f>
        <v>0</v>
      </c>
      <c r="D30" s="2557">
        <v>0.2</v>
      </c>
      <c r="E30" s="2555" t="s">
        <v>2529</v>
      </c>
      <c r="F30" s="2555"/>
      <c r="G30" s="2555"/>
    </row>
    <row r="31" spans="1:9">
      <c r="A31" s="2554">
        <v>3</v>
      </c>
      <c r="B31" s="2555" t="s">
        <v>2530</v>
      </c>
      <c r="C31" s="2555">
        <f>C25*D31</f>
        <v>0</v>
      </c>
      <c r="D31" s="2557">
        <v>0.15</v>
      </c>
      <c r="E31" s="2555" t="s">
        <v>2531</v>
      </c>
      <c r="F31" s="2555"/>
      <c r="G31" s="2555"/>
    </row>
    <row r="32" spans="1:9">
      <c r="A32" s="2554">
        <v>4</v>
      </c>
      <c r="B32" s="2555" t="s">
        <v>2532</v>
      </c>
      <c r="C32" s="2555">
        <f>C27*D32</f>
        <v>0</v>
      </c>
      <c r="D32" s="2557">
        <v>0.05</v>
      </c>
      <c r="E32" s="3756"/>
      <c r="F32" s="3756"/>
      <c r="G32" s="3756"/>
    </row>
    <row r="33" spans="1:7" hidden="1">
      <c r="A33" s="3751" t="s">
        <v>2533</v>
      </c>
      <c r="B33" s="3752"/>
      <c r="C33" s="3752"/>
      <c r="D33" s="3753"/>
      <c r="E33" s="3754"/>
      <c r="F33" s="3754"/>
      <c r="G33" s="3754"/>
    </row>
    <row r="34" spans="1:7" hidden="1">
      <c r="A34" s="2558">
        <v>1</v>
      </c>
      <c r="B34" s="2555" t="s">
        <v>2534</v>
      </c>
      <c r="C34" s="2555"/>
      <c r="D34" s="2555"/>
      <c r="E34" s="3755"/>
      <c r="F34" s="3755"/>
      <c r="G34" s="3755"/>
    </row>
    <row r="35" spans="1:7" hidden="1">
      <c r="A35" s="2558">
        <v>2</v>
      </c>
      <c r="B35" s="2555" t="s">
        <v>2535</v>
      </c>
      <c r="C35" s="2555"/>
      <c r="D35" s="2555"/>
      <c r="E35" s="3755"/>
      <c r="F35" s="3755"/>
      <c r="G35" s="3755"/>
    </row>
    <row r="36" spans="1:7" hidden="1">
      <c r="A36" s="2558">
        <v>3</v>
      </c>
      <c r="B36" s="2555" t="s">
        <v>2536</v>
      </c>
      <c r="C36" s="2555"/>
      <c r="D36" s="2555"/>
      <c r="E36" s="3755"/>
      <c r="F36" s="3755"/>
      <c r="G36" s="3755"/>
    </row>
    <row r="37" spans="1:7" hidden="1">
      <c r="A37" s="2558">
        <v>4</v>
      </c>
      <c r="B37" s="2555" t="s">
        <v>2537</v>
      </c>
      <c r="C37" s="2555"/>
      <c r="D37" s="2555"/>
      <c r="E37" s="3755"/>
      <c r="F37" s="3755"/>
      <c r="G37" s="3755"/>
    </row>
    <row r="38" spans="1:7" hidden="1">
      <c r="A38" s="3751" t="s">
        <v>2538</v>
      </c>
      <c r="B38" s="3752"/>
      <c r="C38" s="3752"/>
      <c r="D38" s="3753"/>
      <c r="E38" s="3754"/>
      <c r="F38" s="3754"/>
      <c r="G38" s="37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2">
        <v>1</v>
      </c>
      <c r="B7" s="748" t="s">
        <v>610</v>
      </c>
      <c r="C7" s="749">
        <f>C8+C9</f>
        <v>0</v>
      </c>
      <c r="D7" s="749"/>
      <c r="E7" s="750"/>
      <c r="F7" s="750"/>
      <c r="G7" s="2502"/>
    </row>
    <row r="8" spans="1:25" s="2184" customFormat="1" ht="13.5" customHeight="1">
      <c r="A8" s="2492" t="s">
        <v>2445</v>
      </c>
      <c r="B8" s="2495" t="s">
        <v>2447</v>
      </c>
      <c r="C8" s="2496"/>
      <c r="D8" s="749"/>
      <c r="E8" s="750"/>
      <c r="F8" s="750"/>
      <c r="G8" s="751"/>
    </row>
    <row r="9" spans="1:25" s="2184" customFormat="1" ht="13.5" customHeight="1">
      <c r="A9" s="2492" t="s">
        <v>2446</v>
      </c>
      <c r="B9" s="2495" t="s">
        <v>2448</v>
      </c>
      <c r="C9" s="2496"/>
      <c r="D9" s="749"/>
      <c r="E9" s="750"/>
      <c r="F9" s="750"/>
      <c r="G9" s="751"/>
    </row>
    <row r="10" spans="1:25" s="2184" customFormat="1" ht="36">
      <c r="A10" s="2492">
        <v>2</v>
      </c>
      <c r="B10" s="748" t="s">
        <v>614</v>
      </c>
      <c r="C10" s="749">
        <f>C11+C14+C15</f>
        <v>0</v>
      </c>
      <c r="D10" s="760">
        <f>'数据-汇总表'!E3</f>
        <v>83910.81</v>
      </c>
      <c r="E10" s="749">
        <f>'数据-取费表'!B31</f>
        <v>200</v>
      </c>
      <c r="F10" s="761"/>
      <c r="G10" s="759" t="s">
        <v>615</v>
      </c>
    </row>
    <row r="11" spans="1:25" s="2184" customFormat="1" ht="13.5" customHeight="1">
      <c r="A11" s="2492" t="s">
        <v>2445</v>
      </c>
      <c r="B11" s="752" t="s">
        <v>611</v>
      </c>
      <c r="C11" s="753">
        <f>'数据-取费表'!B29</f>
        <v>0</v>
      </c>
      <c r="D11" s="754"/>
      <c r="E11" s="753"/>
      <c r="F11" s="755"/>
      <c r="G11" s="2501" t="s">
        <v>2456</v>
      </c>
    </row>
    <row r="12" spans="1:25" s="2184" customFormat="1" ht="13.5" customHeight="1">
      <c r="A12" s="2499" t="s">
        <v>2453</v>
      </c>
      <c r="B12" s="756" t="s">
        <v>612</v>
      </c>
      <c r="C12" s="757">
        <f>ROUND(D12*E12/10000,0)</f>
        <v>907</v>
      </c>
      <c r="D12" s="758">
        <f>'数据-汇总表'!E5</f>
        <v>53353.239999999991</v>
      </c>
      <c r="E12" s="757">
        <f>'数据-取费表'!B27</f>
        <v>170</v>
      </c>
      <c r="F12" s="755"/>
      <c r="G12" s="759"/>
    </row>
    <row r="13" spans="1:25" s="2184" customFormat="1" ht="13.5" customHeight="1">
      <c r="A13" s="2499" t="s">
        <v>2452</v>
      </c>
      <c r="B13" s="756" t="s">
        <v>613</v>
      </c>
      <c r="C13" s="757">
        <f>ROUND(D13*E13/10000,0)</f>
        <v>519</v>
      </c>
      <c r="D13" s="758">
        <f>'数据-汇总表'!E6</f>
        <v>30557.570000000007</v>
      </c>
      <c r="E13" s="757">
        <f>'数据-取费表'!B28</f>
        <v>170</v>
      </c>
      <c r="F13" s="755"/>
      <c r="G13" s="759"/>
    </row>
    <row r="14" spans="1:25" s="2184" customFormat="1" ht="13.5" customHeight="1">
      <c r="A14" s="2492" t="s">
        <v>2446</v>
      </c>
      <c r="B14" s="2498" t="s">
        <v>2449</v>
      </c>
      <c r="C14" s="2496"/>
      <c r="D14" s="758"/>
      <c r="E14" s="757"/>
      <c r="F14" s="2497"/>
      <c r="G14" s="2500" t="s">
        <v>2454</v>
      </c>
    </row>
    <row r="15" spans="1:25" s="2184" customFormat="1" ht="13.5" customHeight="1">
      <c r="A15" s="2492" t="s">
        <v>2451</v>
      </c>
      <c r="B15" s="2498" t="s">
        <v>2450</v>
      </c>
      <c r="C15" s="2496"/>
      <c r="D15" s="758"/>
      <c r="E15" s="757"/>
      <c r="F15" s="2497"/>
      <c r="G15" s="2500" t="s">
        <v>2455</v>
      </c>
    </row>
    <row r="16" spans="1:25" s="2185" customFormat="1" ht="48">
      <c r="A16" s="2492">
        <v>3</v>
      </c>
      <c r="B16" s="748" t="s">
        <v>616</v>
      </c>
      <c r="C16" s="2496"/>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3">
        <v>4</v>
      </c>
      <c r="B17" s="748" t="s">
        <v>617</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3">
        <v>5</v>
      </c>
      <c r="B18" s="748" t="s">
        <v>618</v>
      </c>
      <c r="C18" s="749">
        <f>ROUND((C7+C10+C16)*F18,0)</f>
        <v>0</v>
      </c>
      <c r="D18" s="762"/>
      <c r="E18" s="763"/>
      <c r="F18" s="761">
        <f>'数据-取费表'!Q16</f>
        <v>0.11</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2">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2">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2">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2">
        <v>9</v>
      </c>
      <c r="B22" s="748" t="s">
        <v>626</v>
      </c>
      <c r="C22" s="749">
        <f ca="1">ROUND(C21*F22,0)</f>
        <v>0</v>
      </c>
      <c r="D22" s="760"/>
      <c r="E22" s="749"/>
      <c r="F22" s="766">
        <f>'数据-取费表'!AP16</f>
        <v>0.91900000000000004</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4">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3"/>
      <c r="C1" s="2105"/>
      <c r="D1" s="2105"/>
      <c r="E1" s="2105"/>
      <c r="F1" s="2105"/>
      <c r="G1" s="2105"/>
      <c r="H1" s="2105"/>
      <c r="I1" s="2105"/>
      <c r="J1" s="2105"/>
      <c r="K1" s="422">
        <f>MATCH(B1,'数据-取费表'!A6:A16,0)+5</f>
        <v>9</v>
      </c>
    </row>
    <row r="2" spans="1:31" s="2042" customFormat="1" ht="18" customHeight="1">
      <c r="A2" s="2102" t="s">
        <v>467</v>
      </c>
      <c r="B2" s="2106">
        <f ca="1">C36</f>
        <v>35179</v>
      </c>
      <c r="C2" s="2105"/>
      <c r="D2" s="2105"/>
      <c r="E2" s="2105"/>
      <c r="F2" s="2105"/>
      <c r="G2" s="2105"/>
      <c r="H2" s="2105"/>
      <c r="I2" s="2105"/>
      <c r="J2" s="2105"/>
      <c r="K2" s="2105"/>
    </row>
    <row r="3" spans="1:31" s="2042" customFormat="1" ht="18" customHeight="1">
      <c r="A3" s="2107" t="s">
        <v>1686</v>
      </c>
      <c r="B3" s="2108">
        <f ca="1">ROUND(B2*10000/IF(B1="",'数据-汇总表'!E3,INDIRECT("'数据-取费表'!K"&amp;$K$1)),0)</f>
        <v>4192</v>
      </c>
      <c r="C3" s="2105"/>
      <c r="D3" s="2105"/>
      <c r="E3" s="2105"/>
      <c r="F3" s="2105"/>
      <c r="G3" s="2105"/>
      <c r="H3" s="2105"/>
      <c r="I3" s="2105"/>
      <c r="J3" s="2105"/>
      <c r="K3" s="2105"/>
    </row>
    <row r="4" spans="1:31" s="2042" customFormat="1" ht="18" customHeight="1">
      <c r="A4" s="426" t="s">
        <v>468</v>
      </c>
      <c r="B4" s="427">
        <f ca="1">ROUND(B2*10000/IF(B1="",'数据-汇总表'!D3,INDIRECT("'数据-取费表'!R"&amp;$K$1)),0)</f>
        <v>9892</v>
      </c>
      <c r="C4" s="428"/>
      <c r="D4" s="422"/>
      <c r="E4" s="422"/>
      <c r="F4" s="422"/>
      <c r="G4" s="422"/>
      <c r="H4" s="422"/>
      <c r="I4" s="422"/>
      <c r="J4" s="422"/>
      <c r="K4" s="422"/>
    </row>
    <row r="5" spans="1:31" s="2042" customFormat="1" ht="18" customHeight="1" thickBot="1">
      <c r="A5" s="429"/>
      <c r="B5" s="430">
        <f ca="1">ROUND(B2/(IF(B1="",'数据-汇总表'!D3,INDIRECT("'数据-取费表'!R"&amp;$K$1))/666.67),0)</f>
        <v>659</v>
      </c>
      <c r="C5" s="431" t="s">
        <v>469</v>
      </c>
      <c r="D5" s="422"/>
      <c r="E5" s="422"/>
      <c r="F5" s="422"/>
      <c r="G5" s="422"/>
      <c r="H5" s="422"/>
      <c r="I5" s="422"/>
      <c r="J5" s="422"/>
      <c r="K5" s="422"/>
    </row>
    <row r="6" spans="1:31" s="2112" customFormat="1" ht="16.5" customHeight="1">
      <c r="A6" s="2852" t="s">
        <v>1844</v>
      </c>
      <c r="B6" s="2853"/>
      <c r="C6" s="2854">
        <f ca="1">SUM(C10:K10)</f>
        <v>72525</v>
      </c>
      <c r="D6" s="2853"/>
      <c r="E6" s="2853"/>
      <c r="F6" s="2853"/>
      <c r="G6" s="2853"/>
      <c r="H6" s="2853"/>
      <c r="I6" s="2853"/>
      <c r="J6" s="2853"/>
      <c r="K6" s="2855"/>
    </row>
    <row r="7" spans="1:31" s="2114" customFormat="1" ht="15">
      <c r="A7" s="2856" t="s">
        <v>470</v>
      </c>
      <c r="B7" s="2857" t="s">
        <v>471</v>
      </c>
      <c r="C7" s="436" t="s">
        <v>3240</v>
      </c>
      <c r="D7" s="436" t="s">
        <v>3242</v>
      </c>
      <c r="E7" s="436" t="s">
        <v>3287</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3475">
        <f>'[3]剩余法-待开发'!$C$8</f>
        <v>14151</v>
      </c>
      <c r="D8" s="3475">
        <f>'[3]剩余法-待开发'!$D$8</f>
        <v>12662</v>
      </c>
      <c r="E8" s="2858">
        <f ca="1">'[2]剩余法-待开发'!$E$8</f>
        <v>1408</v>
      </c>
      <c r="F8" s="2858"/>
      <c r="G8" s="2858"/>
      <c r="H8" s="2858"/>
      <c r="I8" s="2858"/>
      <c r="J8" s="2858"/>
      <c r="K8" s="2859"/>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4473.92</v>
      </c>
      <c r="D9" s="441">
        <f>SUMIF('数据-汇总表'!$C19:$C33,'剩余法-待开发'!D7,'数据-汇总表'!$E19:$E33)</f>
        <v>48879.319999999992</v>
      </c>
      <c r="E9" s="441">
        <f>SUMIF('数据-汇总表'!$C19:$C33,'剩余法-待开发'!E7,'数据-汇总表'!$E19:$E33)</f>
        <v>30557.57</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0" t="s">
        <v>1849</v>
      </c>
      <c r="B10" s="2846" t="s">
        <v>474</v>
      </c>
      <c r="C10" s="3051">
        <f>ROUND(C8*C9/10000,0)</f>
        <v>6331</v>
      </c>
      <c r="D10" s="3051">
        <f>ROUND(D8*D9/10000,0)</f>
        <v>61891</v>
      </c>
      <c r="E10" s="3051">
        <f ca="1">ROUND(E8*E9/10000,0)</f>
        <v>4303</v>
      </c>
      <c r="F10" s="2861"/>
      <c r="G10" s="2861"/>
      <c r="H10" s="2861"/>
      <c r="I10" s="2861"/>
      <c r="J10" s="2861"/>
      <c r="K10" s="2862"/>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3" t="s">
        <v>1845</v>
      </c>
      <c r="B11" s="2853"/>
      <c r="C11" s="2853"/>
      <c r="D11" s="2853"/>
      <c r="E11" s="2853"/>
      <c r="F11" s="2853"/>
      <c r="G11" s="2853"/>
      <c r="H11" s="2853"/>
      <c r="I11" s="2853"/>
      <c r="J11" s="2853"/>
      <c r="K11" s="2855"/>
    </row>
    <row r="12" spans="1:31" s="2086" customFormat="1" ht="13.5" customHeight="1">
      <c r="A12" s="2864" t="s">
        <v>470</v>
      </c>
      <c r="B12" s="2836" t="s">
        <v>471</v>
      </c>
      <c r="C12" s="2865" t="s">
        <v>475</v>
      </c>
      <c r="D12" s="2832" t="s">
        <v>476</v>
      </c>
      <c r="E12" s="2832" t="s">
        <v>477</v>
      </c>
      <c r="F12" s="2832" t="s">
        <v>478</v>
      </c>
      <c r="G12" s="2836"/>
      <c r="H12" s="2837"/>
      <c r="I12" s="2837"/>
      <c r="J12" s="2837"/>
      <c r="K12" s="2838"/>
    </row>
    <row r="13" spans="1:31" s="2117" customFormat="1" ht="13.5" customHeight="1">
      <c r="A13" s="2866" t="s">
        <v>1850</v>
      </c>
      <c r="B13" s="2867" t="s">
        <v>479</v>
      </c>
      <c r="C13" s="450">
        <f ca="1">IF(B1="",'数据-取费表'!P16,INDIRECT("'数据-取费表'!p"&amp;$K$1)+INDIRECT("'数据-取费表'!t"&amp;$K$1))</f>
        <v>15193</v>
      </c>
      <c r="D13" s="2868"/>
      <c r="E13" s="2869"/>
      <c r="F13" s="2870"/>
      <c r="G13" s="2836"/>
      <c r="H13" s="2837"/>
      <c r="I13" s="2837"/>
      <c r="J13" s="2837"/>
      <c r="K13" s="2838"/>
    </row>
    <row r="14" spans="1:31" s="2117" customFormat="1" ht="13.5" customHeight="1">
      <c r="A14" s="2866" t="s">
        <v>1851</v>
      </c>
      <c r="B14" s="2867" t="s">
        <v>480</v>
      </c>
      <c r="C14" s="53">
        <f ca="1">ROUND(C13*F14,0)</f>
        <v>456</v>
      </c>
      <c r="D14" s="2868"/>
      <c r="E14" s="2869"/>
      <c r="F14" s="2871">
        <f>'数据-取费表'!B33</f>
        <v>0.03</v>
      </c>
      <c r="G14" s="2836" t="s">
        <v>481</v>
      </c>
      <c r="H14" s="2837"/>
      <c r="I14" s="2837"/>
      <c r="J14" s="2837"/>
      <c r="K14" s="2838"/>
    </row>
    <row r="15" spans="1:31" s="2117" customFormat="1" ht="13.5" customHeight="1">
      <c r="A15" s="2866" t="s">
        <v>1852</v>
      </c>
      <c r="B15" s="2867" t="s">
        <v>482</v>
      </c>
      <c r="C15" s="53">
        <f ca="1">ROUND(IF(B1="",SUMIF('数据-取费表'!C:C,"住宅",'数据-取费表'!P:P)*F15,IF(INDIRECT("'数据-取费表'!c"&amp;$K$1)="住宅",INDIRECT("'数据-取费表'!P"&amp;$K$1)*F15,0)),0)</f>
        <v>485</v>
      </c>
      <c r="D15" s="2868"/>
      <c r="E15" s="2869"/>
      <c r="F15" s="2871">
        <f>'数据-取费表'!B34</f>
        <v>0.05</v>
      </c>
      <c r="G15" s="2836" t="s">
        <v>483</v>
      </c>
      <c r="H15" s="2837"/>
      <c r="I15" s="2837"/>
      <c r="J15" s="2837"/>
      <c r="K15" s="2838"/>
    </row>
    <row r="16" spans="1:31" s="2118" customFormat="1" ht="13.5" customHeight="1">
      <c r="A16" s="2866" t="s">
        <v>1853</v>
      </c>
      <c r="B16" s="2867" t="s">
        <v>484</v>
      </c>
      <c r="C16" s="53">
        <f ca="1">ROUND(D16*E16/10000,0)</f>
        <v>1678</v>
      </c>
      <c r="D16" s="2868">
        <f ca="1">IF(B1="",'数据-汇总表'!E3,INDIRECT("'数据-取费表'!K"&amp;$K$1)+INDIRECT("'数据-取费表'!S"&amp;$K$1))</f>
        <v>83910.81</v>
      </c>
      <c r="E16" s="53">
        <f>'数据-取费表'!B35</f>
        <v>200</v>
      </c>
      <c r="F16" s="2871"/>
      <c r="G16" s="2836"/>
      <c r="H16" s="2837"/>
      <c r="I16" s="2837"/>
      <c r="J16" s="2837"/>
      <c r="K16" s="2838"/>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6" t="s">
        <v>1854</v>
      </c>
      <c r="B17" s="2867" t="s">
        <v>485</v>
      </c>
      <c r="C17" s="2872">
        <f ca="1">ROUND(C13*F17,0)</f>
        <v>228</v>
      </c>
      <c r="D17" s="475"/>
      <c r="E17" s="2872"/>
      <c r="F17" s="2873">
        <f>'数据-取费表'!B36</f>
        <v>1.4999999999999999E-2</v>
      </c>
      <c r="G17" s="261" t="s">
        <v>486</v>
      </c>
      <c r="H17" s="2839"/>
      <c r="I17" s="2839"/>
      <c r="J17" s="2839"/>
      <c r="K17" s="279"/>
    </row>
    <row r="18" spans="1:14" s="2117" customFormat="1" ht="13.5" customHeight="1">
      <c r="A18" s="2874" t="s">
        <v>1855</v>
      </c>
      <c r="B18" s="2875" t="s">
        <v>487</v>
      </c>
      <c r="C18" s="2876">
        <f ca="1">SUM(C13:C17)</f>
        <v>18040</v>
      </c>
      <c r="D18" s="2877"/>
      <c r="E18" s="468"/>
      <c r="F18" s="468"/>
      <c r="G18" s="2840" t="s">
        <v>2435</v>
      </c>
      <c r="H18" s="2841"/>
      <c r="I18" s="2841"/>
      <c r="J18" s="2841"/>
      <c r="K18" s="2842"/>
    </row>
    <row r="19" spans="1:14" s="2117" customFormat="1" ht="13.5" customHeight="1">
      <c r="A19" s="2874" t="s">
        <v>1856</v>
      </c>
      <c r="B19" s="2875" t="s">
        <v>488</v>
      </c>
      <c r="C19" s="2832">
        <f ca="1">ROUND(D19*E19/10000,0)</f>
        <v>0</v>
      </c>
      <c r="D19" s="2878">
        <f ca="1">D16</f>
        <v>83910.81</v>
      </c>
      <c r="E19" s="2832">
        <f>'数据-取费表'!B32</f>
        <v>0</v>
      </c>
      <c r="F19" s="468"/>
      <c r="G19" s="2836" t="s">
        <v>489</v>
      </c>
      <c r="H19" s="2837"/>
      <c r="I19" s="2841"/>
      <c r="J19" s="2841"/>
      <c r="K19" s="2842"/>
    </row>
    <row r="20" spans="1:14" s="2117" customFormat="1" ht="13.5" customHeight="1">
      <c r="A20" s="2874" t="s">
        <v>1857</v>
      </c>
      <c r="B20" s="2875" t="s">
        <v>490</v>
      </c>
      <c r="C20" s="2832">
        <f ca="1">C21+C22-IF(B1="",'数据-取费表'!B29,IF(G20="已全部缴纳",C21+C22,H20))</f>
        <v>1426</v>
      </c>
      <c r="D20" s="2878"/>
      <c r="E20" s="2832"/>
      <c r="F20" s="2879"/>
      <c r="G20" s="3110"/>
      <c r="H20" s="2834"/>
      <c r="I20" s="2835" t="s">
        <v>2658</v>
      </c>
      <c r="J20" s="2841"/>
      <c r="K20" s="2842"/>
    </row>
    <row r="21" spans="1:14" s="2117" customFormat="1" ht="13.5" customHeight="1">
      <c r="A21" s="2866" t="s">
        <v>1858</v>
      </c>
      <c r="B21" s="2867" t="s">
        <v>491</v>
      </c>
      <c r="C21" s="53">
        <f ca="1">ROUND(D21*E21/10000,0)</f>
        <v>907</v>
      </c>
      <c r="D21" s="2868">
        <f ca="1">IF(B1="",'数据-汇总表'!E5,IF(INDIRECT("'数据-取费表'!c"&amp;$K$1)="住宅",INDIRECT("'数据-取费表'!k"&amp;$K$1),0))</f>
        <v>53353.239999999991</v>
      </c>
      <c r="E21" s="53">
        <f>'数据-取费表'!B27</f>
        <v>170</v>
      </c>
      <c r="F21" s="2871"/>
      <c r="G21" s="26"/>
      <c r="H21" s="51"/>
      <c r="I21" s="51"/>
      <c r="J21" s="51"/>
      <c r="K21" s="2843"/>
    </row>
    <row r="22" spans="1:14" s="2117" customFormat="1" ht="13.5" customHeight="1">
      <c r="A22" s="2866" t="s">
        <v>1859</v>
      </c>
      <c r="B22" s="2867" t="s">
        <v>492</v>
      </c>
      <c r="C22" s="53">
        <f ca="1">ROUND(D22*E22/10000,0)</f>
        <v>519</v>
      </c>
      <c r="D22" s="2868">
        <f ca="1">IF(B1="",'数据-汇总表'!E6,IF(INDIRECT("'数据-取费表'!c"&amp;$K$1)="住宅",INDIRECT("'数据-取费表'!s"&amp;$K$1),INDIRECT("'数据-取费表'!k"&amp;$K$1)+INDIRECT("'数据-取费表'!s"&amp;$K$1)))</f>
        <v>30557.570000000007</v>
      </c>
      <c r="E22" s="53">
        <f>'数据-取费表'!B28</f>
        <v>170</v>
      </c>
      <c r="F22" s="2871"/>
      <c r="G22" s="26"/>
      <c r="H22" s="51"/>
      <c r="I22" s="51"/>
      <c r="J22" s="51"/>
      <c r="K22" s="2843"/>
    </row>
    <row r="23" spans="1:14" s="2117" customFormat="1" ht="13.5" customHeight="1">
      <c r="A23" s="2874" t="s">
        <v>1860</v>
      </c>
      <c r="B23" s="3057" t="s">
        <v>2841</v>
      </c>
      <c r="C23" s="2876">
        <f ca="1">ROUND((C18+C19+C20)*F23,0)</f>
        <v>292</v>
      </c>
      <c r="D23" s="468"/>
      <c r="E23" s="468"/>
      <c r="F23" s="2880">
        <f>'数据-取费表'!B37</f>
        <v>1.4999999999999999E-2</v>
      </c>
      <c r="G23" s="2836" t="s">
        <v>2436</v>
      </c>
      <c r="H23" s="2837"/>
      <c r="I23" s="2837"/>
      <c r="J23" s="2837"/>
      <c r="K23" s="2838"/>
      <c r="L23" s="2119"/>
      <c r="M23" s="2119"/>
      <c r="N23" s="2119"/>
    </row>
    <row r="24" spans="1:14" s="2117" customFormat="1" ht="13.5" customHeight="1">
      <c r="A24" s="2874" t="s">
        <v>1861</v>
      </c>
      <c r="B24" s="3057" t="s">
        <v>2844</v>
      </c>
      <c r="C24" s="2876">
        <f ca="1">ROUND(C6*F24,0)</f>
        <v>1451</v>
      </c>
      <c r="D24" s="475"/>
      <c r="E24" s="473"/>
      <c r="F24" s="2880">
        <f>'数据-取费表'!B38</f>
        <v>0.02</v>
      </c>
      <c r="G24" s="2845" t="s">
        <v>499</v>
      </c>
      <c r="H24" s="2839"/>
      <c r="I24" s="2839"/>
      <c r="J24" s="2839"/>
      <c r="K24" s="279"/>
      <c r="L24" s="2119"/>
      <c r="M24" s="2119"/>
      <c r="N24" s="2119"/>
    </row>
    <row r="25" spans="1:14" s="2120" customFormat="1" ht="13.5" customHeight="1">
      <c r="A25" s="2874" t="s">
        <v>1862</v>
      </c>
      <c r="B25" s="3057" t="s">
        <v>2842</v>
      </c>
      <c r="C25" s="467">
        <f>ROUND(F25/(1+'数据-取费表'!C42),4)</f>
        <v>3.8600000000000002E-2</v>
      </c>
      <c r="D25" s="462" t="s">
        <v>2836</v>
      </c>
      <c r="E25" s="469"/>
      <c r="F25" s="2880">
        <f>'数据-取费表'!B48+'数据-取费表'!B49</f>
        <v>4.0500000000000001E-2</v>
      </c>
      <c r="G25" s="2844" t="s">
        <v>2293</v>
      </c>
      <c r="H25" s="2837"/>
      <c r="I25" s="2837"/>
      <c r="J25" s="2837"/>
      <c r="K25" s="2838"/>
    </row>
    <row r="26" spans="1:14" s="2119" customFormat="1" ht="13.5" customHeight="1">
      <c r="A26" s="2874" t="s">
        <v>1863</v>
      </c>
      <c r="B26" s="3058" t="s">
        <v>2843</v>
      </c>
      <c r="C26" s="2881">
        <f ca="1">C28</f>
        <v>1007</v>
      </c>
      <c r="D26" s="467">
        <f ca="1">C27</f>
        <v>0.10100000000000001</v>
      </c>
      <c r="E26" s="469" t="s">
        <v>495</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21" customFormat="1" ht="13.5" customHeight="1">
      <c r="A27" s="803" t="s">
        <v>1858</v>
      </c>
      <c r="B27" s="2882" t="s">
        <v>496</v>
      </c>
      <c r="C27" s="2883">
        <f ca="1">ROUND(IF('数据-取费表'!B22&lt;=1,(1+C25)*F26*'数据-取费表'!B24,(1+C25)*(POWER((1+F26),'数据-取费表'!B24)-1)),4)</f>
        <v>0.10100000000000001</v>
      </c>
      <c r="D27" s="472"/>
      <c r="E27" s="473"/>
      <c r="F27" s="474"/>
      <c r="G27" s="2595" t="str">
        <f>IF('数据-取费表'!B22&lt;=1,"（1+取得税费率/(1+5%)）×年利率×建设期","（1+取得税费率）/(1+5%)×((1+年利率)^建设期-1)")</f>
        <v>（1+取得税费率）/(1+5%)×((1+年利率)^建设期-1)</v>
      </c>
      <c r="H27" s="2839"/>
      <c r="I27" s="2839"/>
      <c r="J27" s="2839"/>
      <c r="K27" s="279"/>
    </row>
    <row r="28" spans="1:14" s="2121" customFormat="1" ht="13.5" customHeight="1">
      <c r="A28" s="803" t="s">
        <v>1859</v>
      </c>
      <c r="B28" s="2882" t="s">
        <v>2845</v>
      </c>
      <c r="C28" s="2884">
        <f ca="1">ROUND(IF('数据-取费表'!B22&lt;=1,(C18+C19+C20+C23+C24)*F26*'数据-取费表'!B24/2,(C18+C19+C20+C23+C24)*(POWER((1+F26),'数据-取费表'!B24/2)-1)),0)</f>
        <v>1007</v>
      </c>
      <c r="D28" s="472"/>
      <c r="E28" s="473"/>
      <c r="F28" s="474"/>
      <c r="G28" s="2595" t="str">
        <f>IF('数据-取费表'!B22&lt;=1,"（1）-（4）项×年利率×建设期÷2","（1）-（4）项×((1+年利率)^(建设期÷2)-1)")</f>
        <v>（1）-（4）项×((1+年利率)^(建设期÷2)-1)</v>
      </c>
      <c r="H28" s="2839"/>
      <c r="I28" s="2839"/>
      <c r="J28" s="2839"/>
      <c r="K28" s="279"/>
    </row>
    <row r="29" spans="1:14" s="2121" customFormat="1" ht="13.5" customHeight="1">
      <c r="A29" s="2885" t="s">
        <v>1864</v>
      </c>
      <c r="B29" s="2875" t="s">
        <v>497</v>
      </c>
      <c r="C29" s="2876">
        <f ca="1">ROUND(C6*F29/(1+'数据-取费表'!C42),0)</f>
        <v>3868</v>
      </c>
      <c r="D29" s="468"/>
      <c r="E29" s="468"/>
      <c r="F29" s="3059">
        <f>'数据-取费表'!B41</f>
        <v>5.6000000000000001E-2</v>
      </c>
      <c r="G29" s="2845" t="s">
        <v>498</v>
      </c>
      <c r="H29" s="2837"/>
      <c r="I29" s="2837"/>
      <c r="J29" s="2837"/>
      <c r="K29" s="2838"/>
    </row>
    <row r="30" spans="1:14" s="2122" customFormat="1" ht="13.5" customHeight="1">
      <c r="A30" s="1636" t="s">
        <v>1865</v>
      </c>
      <c r="B30" s="2886" t="s">
        <v>500</v>
      </c>
      <c r="C30" s="2881">
        <f ca="1">C31</f>
        <v>26084</v>
      </c>
      <c r="D30" s="477">
        <f ca="1">C32</f>
        <v>0.1396</v>
      </c>
      <c r="E30" s="469" t="s">
        <v>495</v>
      </c>
      <c r="F30" s="471"/>
      <c r="G30" s="2836" t="s">
        <v>501</v>
      </c>
      <c r="H30" s="2837"/>
      <c r="I30" s="2837"/>
      <c r="J30" s="2837"/>
      <c r="K30" s="2838"/>
    </row>
    <row r="31" spans="1:14" s="2121" customFormat="1" ht="13.5" customHeight="1">
      <c r="A31" s="803" t="s">
        <v>1858</v>
      </c>
      <c r="B31" s="2882"/>
      <c r="C31" s="450">
        <f ca="1">C18+C19+C20+C23+C24+C26+C29</f>
        <v>26084</v>
      </c>
      <c r="D31" s="472"/>
      <c r="E31" s="473"/>
      <c r="F31" s="474"/>
      <c r="G31" s="261"/>
      <c r="H31" s="2839"/>
      <c r="I31" s="2839"/>
      <c r="J31" s="2839"/>
      <c r="K31" s="279"/>
    </row>
    <row r="32" spans="1:14" s="2121" customFormat="1" ht="13.5" customHeight="1">
      <c r="A32" s="803" t="s">
        <v>1859</v>
      </c>
      <c r="B32" s="2882"/>
      <c r="C32" s="53">
        <f ca="1">ROUND(C25+D26,4)</f>
        <v>0.1396</v>
      </c>
      <c r="D32" s="472"/>
      <c r="E32" s="473"/>
      <c r="F32" s="474"/>
      <c r="G32" s="261"/>
      <c r="H32" s="2839"/>
      <c r="I32" s="2839"/>
      <c r="J32" s="2839"/>
      <c r="K32" s="279"/>
    </row>
    <row r="33" spans="1:11" s="2123" customFormat="1" ht="13.5" customHeight="1">
      <c r="A33" s="3056" t="s">
        <v>2840</v>
      </c>
      <c r="B33" s="3054" t="s">
        <v>2838</v>
      </c>
      <c r="C33" s="478">
        <f ca="1">C35</f>
        <v>2333</v>
      </c>
      <c r="D33" s="467">
        <f ca="1">C34</f>
        <v>0.1142</v>
      </c>
      <c r="E33" s="469" t="s">
        <v>495</v>
      </c>
      <c r="F33" s="479">
        <f ca="1">IF(B1="",'数据-取费表'!Q16,INDIRECT("'数据-取费表'!q"&amp;$K$1))</f>
        <v>0.11</v>
      </c>
      <c r="G33" s="2840"/>
      <c r="H33" s="2841"/>
      <c r="I33" s="2841"/>
      <c r="J33" s="2841"/>
      <c r="K33" s="2842"/>
    </row>
    <row r="34" spans="1:11" s="2124" customFormat="1" ht="13.5" customHeight="1">
      <c r="A34" s="375" t="s">
        <v>1858</v>
      </c>
      <c r="B34" s="2887" t="s">
        <v>502</v>
      </c>
      <c r="C34" s="472">
        <f ca="1">ROUND((1+C25)*F33,4)</f>
        <v>0.1142</v>
      </c>
      <c r="D34" s="472"/>
      <c r="E34" s="473"/>
      <c r="F34" s="480"/>
      <c r="G34" s="261" t="s">
        <v>2294</v>
      </c>
      <c r="H34" s="2839"/>
      <c r="I34" s="2839"/>
      <c r="J34" s="2839"/>
      <c r="K34" s="279"/>
    </row>
    <row r="35" spans="1:11" s="2124" customFormat="1" ht="13.5" customHeight="1" thickBot="1">
      <c r="A35" s="1637" t="s">
        <v>1859</v>
      </c>
      <c r="B35" s="3055" t="s">
        <v>2846</v>
      </c>
      <c r="C35" s="1629">
        <f ca="1">ROUND((C18+C19+C20+C23+C24)*F33,0)</f>
        <v>2333</v>
      </c>
      <c r="D35" s="1630"/>
      <c r="E35" s="2888"/>
      <c r="F35" s="1631"/>
      <c r="G35" s="2846"/>
      <c r="H35" s="2847"/>
      <c r="I35" s="2847"/>
      <c r="J35" s="2847"/>
      <c r="K35" s="2848"/>
    </row>
    <row r="36" spans="1:11" s="2086" customFormat="1" ht="13.5" customHeight="1" thickBot="1">
      <c r="A36" s="284" t="s">
        <v>1846</v>
      </c>
      <c r="B36" s="2850"/>
      <c r="C36" s="2889">
        <f ca="1">ROUND((C6-C30-C33)/(1+D30+D33),0)</f>
        <v>35179</v>
      </c>
      <c r="D36" s="2850"/>
      <c r="E36" s="2850"/>
      <c r="F36" s="2850"/>
      <c r="G36" s="2849" t="s">
        <v>2847</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3"/>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15193</v>
      </c>
      <c r="D13" s="451"/>
      <c r="E13" s="365"/>
      <c r="F13" s="452"/>
      <c r="G13" s="444"/>
      <c r="H13" s="447"/>
      <c r="I13" s="447"/>
      <c r="J13" s="447"/>
      <c r="K13" s="448"/>
    </row>
    <row r="14" spans="1:41" s="2117" customFormat="1" ht="13.5" customHeight="1">
      <c r="A14" s="1634" t="s">
        <v>1851</v>
      </c>
      <c r="B14" s="449" t="s">
        <v>480</v>
      </c>
      <c r="C14" s="53">
        <f ca="1">ROUND(C13*F14,0)</f>
        <v>456</v>
      </c>
      <c r="D14" s="451"/>
      <c r="E14" s="365"/>
      <c r="F14" s="453">
        <f>'数据-取费表'!B33</f>
        <v>0.03</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485</v>
      </c>
      <c r="D15" s="451"/>
      <c r="E15" s="365"/>
      <c r="F15" s="453">
        <f>'数据-取费表'!B34</f>
        <v>0.05</v>
      </c>
      <c r="G15" s="444" t="s">
        <v>503</v>
      </c>
      <c r="H15" s="447"/>
      <c r="I15" s="447"/>
      <c r="J15" s="447"/>
      <c r="K15" s="448"/>
    </row>
    <row r="16" spans="1:41" s="2118" customFormat="1" ht="13.5" customHeight="1">
      <c r="A16" s="1634" t="s">
        <v>1853</v>
      </c>
      <c r="B16" s="449" t="s">
        <v>484</v>
      </c>
      <c r="C16" s="53">
        <f ca="1">ROUND(D16*E16/10000,0)</f>
        <v>1678</v>
      </c>
      <c r="D16" s="451">
        <f ca="1">IF(B1="",'数据-汇总表'!E3,INDIRECT("'数据-取费表'!K"&amp;$K$1)+INDIRECT("'数据-取费表'!S"&amp;$K$1))</f>
        <v>83910.81</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228</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18040</v>
      </c>
      <c r="D18" s="461"/>
      <c r="E18" s="462"/>
      <c r="F18" s="462"/>
      <c r="G18" s="1327" t="s">
        <v>2437</v>
      </c>
      <c r="H18" s="447"/>
      <c r="I18" s="447"/>
      <c r="J18" s="447"/>
      <c r="K18" s="448"/>
    </row>
    <row r="19" spans="1:14" s="2120" customFormat="1" ht="13.5" customHeight="1">
      <c r="A19" s="1635" t="s">
        <v>1856</v>
      </c>
      <c r="B19" s="459" t="s">
        <v>493</v>
      </c>
      <c r="C19" s="460">
        <f ca="1">ROUND(C18*F19,0)</f>
        <v>271</v>
      </c>
      <c r="D19" s="462"/>
      <c r="E19" s="462"/>
      <c r="F19" s="466">
        <f>'数据-取费表'!B37</f>
        <v>1.4999999999999999E-2</v>
      </c>
      <c r="G19" s="444" t="s">
        <v>504</v>
      </c>
      <c r="H19" s="447"/>
      <c r="I19" s="447"/>
      <c r="J19" s="447"/>
      <c r="K19" s="448"/>
      <c r="L19" s="2122"/>
      <c r="M19" s="2122"/>
      <c r="N19" s="2122"/>
    </row>
    <row r="20" spans="1:14" s="2120" customFormat="1" ht="13.5" customHeight="1">
      <c r="A20" s="1635" t="s">
        <v>1857</v>
      </c>
      <c r="B20" s="459" t="s">
        <v>505</v>
      </c>
      <c r="C20" s="3052">
        <f>F20</f>
        <v>0.02</v>
      </c>
      <c r="D20" s="469" t="s">
        <v>506</v>
      </c>
      <c r="E20" s="469"/>
      <c r="F20" s="486">
        <f>'数据-取费表'!B38</f>
        <v>0.02</v>
      </c>
      <c r="G20" s="1327" t="s">
        <v>507</v>
      </c>
      <c r="H20" s="447"/>
      <c r="I20" s="447"/>
      <c r="J20" s="447"/>
      <c r="K20" s="448"/>
      <c r="L20" s="2122"/>
      <c r="M20" s="2122"/>
      <c r="N20" s="2122"/>
    </row>
    <row r="21" spans="1:14" s="2122" customFormat="1" ht="13.5" customHeight="1">
      <c r="A21" s="1635" t="s">
        <v>1860</v>
      </c>
      <c r="B21" s="461" t="s">
        <v>494</v>
      </c>
      <c r="C21" s="470">
        <f ca="1">C22</f>
        <v>870</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4" t="s">
        <v>1850</v>
      </c>
      <c r="B22" s="1328" t="s">
        <v>2440</v>
      </c>
      <c r="C22" s="487">
        <f ca="1">ROUND(IF('数据-取费表'!B22&lt;=1,(C18+C19)*F21*'数据-取费表'!B20/2,(C18+C19)*(POWER((1+F21),'数据-取费表'!B20/2)-1)),0)</f>
        <v>870</v>
      </c>
      <c r="D22" s="472"/>
      <c r="E22" s="473"/>
      <c r="F22" s="474"/>
      <c r="G22" s="2590"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1E-3</v>
      </c>
      <c r="D23" s="472"/>
      <c r="E23" s="473"/>
      <c r="F23" s="474"/>
      <c r="G23" s="2590"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4" t="s">
        <v>2839</v>
      </c>
      <c r="C24" s="478">
        <f ca="1">C25</f>
        <v>2014</v>
      </c>
      <c r="D24" s="489">
        <f ca="1">C26</f>
        <v>2.2000000000000001E-3</v>
      </c>
      <c r="E24" s="469" t="s">
        <v>508</v>
      </c>
      <c r="F24" s="479">
        <f ca="1">IF(B1="",'数据-取费表'!Q16,INDIRECT("'数据-取费表'!q"&amp;$K$1))</f>
        <v>0.11</v>
      </c>
      <c r="G24" s="444"/>
      <c r="H24" s="447"/>
      <c r="I24" s="447"/>
      <c r="J24" s="447"/>
      <c r="K24" s="448"/>
    </row>
    <row r="25" spans="1:14" s="2121" customFormat="1" ht="13.5" customHeight="1">
      <c r="A25" s="1634" t="s">
        <v>1850</v>
      </c>
      <c r="B25" s="1328" t="s">
        <v>2441</v>
      </c>
      <c r="C25" s="490">
        <f ca="1">ROUND((C18+C19)*F24,0)</f>
        <v>2014</v>
      </c>
      <c r="D25" s="472"/>
      <c r="E25" s="473"/>
      <c r="F25" s="480"/>
      <c r="G25" s="1326" t="s">
        <v>2438</v>
      </c>
      <c r="H25" s="457"/>
      <c r="I25" s="457"/>
      <c r="J25" s="457"/>
      <c r="K25" s="458"/>
    </row>
    <row r="26" spans="1:14" s="2121" customFormat="1" ht="13.5" customHeight="1">
      <c r="A26" s="1634" t="s">
        <v>1851</v>
      </c>
      <c r="B26" s="1328" t="s">
        <v>510</v>
      </c>
      <c r="C26" s="491">
        <f ca="1">ROUND(F20*F24,4)</f>
        <v>2.2000000000000001E-3</v>
      </c>
      <c r="D26" s="472"/>
      <c r="E26" s="481"/>
      <c r="F26" s="480"/>
      <c r="G26" s="1326" t="s">
        <v>511</v>
      </c>
      <c r="H26" s="457"/>
      <c r="I26" s="457"/>
      <c r="J26" s="457"/>
      <c r="K26" s="458"/>
    </row>
    <row r="27" spans="1:14" s="2121" customFormat="1" ht="13.5" customHeight="1">
      <c r="A27" s="1638" t="s">
        <v>1869</v>
      </c>
      <c r="B27" s="459" t="s">
        <v>512</v>
      </c>
      <c r="C27" s="3053">
        <f>ROUND(F27/(1+'数据-取费表'!C42),4)</f>
        <v>5.33E-2</v>
      </c>
      <c r="D27" s="462" t="s">
        <v>2837</v>
      </c>
      <c r="E27" s="462"/>
      <c r="F27" s="466">
        <f>'数据-取费表'!B41</f>
        <v>5.6000000000000001E-2</v>
      </c>
      <c r="G27" s="1961" t="s">
        <v>2295</v>
      </c>
      <c r="H27" s="447"/>
      <c r="I27" s="447"/>
      <c r="J27" s="447"/>
      <c r="K27" s="448"/>
    </row>
    <row r="28" spans="1:14" s="2122" customFormat="1" ht="13.5" customHeight="1">
      <c r="A28" s="1638" t="s">
        <v>1870</v>
      </c>
      <c r="B28" s="476" t="s">
        <v>513</v>
      </c>
      <c r="C28" s="470">
        <f ca="1">ROUND((C18+C19+C21+C24)/(1-C20-D21-D24-C27),0)</f>
        <v>22951</v>
      </c>
      <c r="D28" s="477"/>
      <c r="E28" s="469"/>
      <c r="F28" s="471"/>
      <c r="G28" s="1327" t="s">
        <v>2439</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5"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6"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9" sqref="M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6" t="s">
        <v>720</v>
      </c>
      <c r="C1" s="2647" t="s">
        <v>721</v>
      </c>
      <c r="D1" s="2648"/>
      <c r="E1" s="2649"/>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5"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79" t="s">
        <v>523</v>
      </c>
      <c r="D4" s="3680"/>
      <c r="E4" s="3703" t="s">
        <v>524</v>
      </c>
      <c r="F4" s="3704"/>
      <c r="G4" s="3679" t="s">
        <v>525</v>
      </c>
      <c r="H4" s="3680"/>
      <c r="I4" s="3679" t="s">
        <v>526</v>
      </c>
      <c r="J4" s="3680"/>
      <c r="K4" s="853" t="s">
        <v>527</v>
      </c>
      <c r="L4" s="2134"/>
      <c r="M4" s="2135"/>
      <c r="N4" s="2135"/>
      <c r="O4" s="2135"/>
      <c r="P4" s="3681" t="s">
        <v>528</v>
      </c>
      <c r="Q4" s="3682"/>
      <c r="R4" s="3667" t="s">
        <v>524</v>
      </c>
      <c r="S4" s="3668"/>
      <c r="T4" s="3667" t="s">
        <v>525</v>
      </c>
      <c r="U4" s="3668"/>
      <c r="V4" s="3687" t="s">
        <v>526</v>
      </c>
      <c r="W4" s="3687"/>
      <c r="X4" s="1568"/>
      <c r="Y4" s="3667" t="s">
        <v>528</v>
      </c>
      <c r="Z4" s="3668"/>
      <c r="AA4" s="3662" t="s">
        <v>524</v>
      </c>
      <c r="AB4" s="3662" t="s">
        <v>525</v>
      </c>
      <c r="AC4" s="3662" t="s">
        <v>526</v>
      </c>
    </row>
    <row r="5" spans="1:29" ht="15">
      <c r="A5" s="515"/>
      <c r="B5" s="516"/>
      <c r="C5" s="3690" t="s">
        <v>2936</v>
      </c>
      <c r="D5" s="3691"/>
      <c r="E5" s="3705" t="s">
        <v>2937</v>
      </c>
      <c r="F5" s="3706"/>
      <c r="G5" s="3690" t="s">
        <v>2938</v>
      </c>
      <c r="H5" s="3691"/>
      <c r="I5" s="3690" t="s">
        <v>2939</v>
      </c>
      <c r="J5" s="3691"/>
      <c r="K5" s="854"/>
      <c r="L5" s="2134"/>
      <c r="M5" s="2135"/>
      <c r="N5" s="2135"/>
      <c r="O5" s="2135"/>
      <c r="P5" s="3683"/>
      <c r="Q5" s="3684"/>
      <c r="R5" s="3669"/>
      <c r="S5" s="3670"/>
      <c r="T5" s="3669"/>
      <c r="U5" s="3670"/>
      <c r="V5" s="3687"/>
      <c r="W5" s="3687"/>
      <c r="X5" s="1568"/>
      <c r="Y5" s="3669"/>
      <c r="Z5" s="3670"/>
      <c r="AA5" s="3663"/>
      <c r="AB5" s="3663"/>
      <c r="AC5" s="3663"/>
    </row>
    <row r="6" spans="1:29" ht="15.75" thickBot="1">
      <c r="A6" s="517"/>
      <c r="B6" s="518"/>
      <c r="C6" s="3688" t="s">
        <v>2940</v>
      </c>
      <c r="D6" s="3689"/>
      <c r="E6" s="3707" t="s">
        <v>2940</v>
      </c>
      <c r="F6" s="3708"/>
      <c r="G6" s="3688" t="s">
        <v>2940</v>
      </c>
      <c r="H6" s="3689"/>
      <c r="I6" s="3688" t="s">
        <v>2940</v>
      </c>
      <c r="J6" s="3689"/>
      <c r="K6" s="854" t="s">
        <v>529</v>
      </c>
      <c r="L6" s="2134"/>
      <c r="M6" s="2135"/>
      <c r="N6" s="2135"/>
      <c r="O6" s="2135"/>
      <c r="P6" s="3685"/>
      <c r="Q6" s="3686"/>
      <c r="R6" s="3669"/>
      <c r="S6" s="3670"/>
      <c r="T6" s="3671"/>
      <c r="U6" s="3672"/>
      <c r="V6" s="3687"/>
      <c r="W6" s="3687"/>
      <c r="X6" s="1568"/>
      <c r="Y6" s="3671"/>
      <c r="Z6" s="3672"/>
      <c r="AA6" s="3664"/>
      <c r="AB6" s="3664"/>
      <c r="AC6" s="3664"/>
    </row>
    <row r="7" spans="1:29" s="1220" customFormat="1" ht="15.75" thickBot="1">
      <c r="A7" s="2936"/>
      <c r="B7" s="2943" t="s">
        <v>530</v>
      </c>
      <c r="C7" s="519">
        <f>'数据-取费表'!B2</f>
        <v>43136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65" t="s">
        <v>531</v>
      </c>
      <c r="Q7" s="3674"/>
      <c r="R7" s="1569" t="s">
        <v>13</v>
      </c>
      <c r="S7" s="1570">
        <f t="shared" ref="S7:S15" si="0">F7</f>
        <v>0</v>
      </c>
      <c r="T7" s="1569" t="s">
        <v>13</v>
      </c>
      <c r="U7" s="1570">
        <f t="shared" ref="U7:U15" si="1">H7</f>
        <v>0</v>
      </c>
      <c r="V7" s="1569" t="s">
        <v>13</v>
      </c>
      <c r="W7" s="1570">
        <f t="shared" ref="W7:W15"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65" t="s">
        <v>534</v>
      </c>
      <c r="Q8" s="3666"/>
      <c r="R8" s="1569" t="s">
        <v>13</v>
      </c>
      <c r="S8" s="1570">
        <f t="shared" si="0"/>
        <v>0</v>
      </c>
      <c r="T8" s="1569" t="s">
        <v>13</v>
      </c>
      <c r="U8" s="1570">
        <f t="shared" si="1"/>
        <v>0</v>
      </c>
      <c r="V8" s="1569" t="s">
        <v>13</v>
      </c>
      <c r="W8" s="1570">
        <f t="shared" si="2"/>
        <v>0</v>
      </c>
      <c r="X8" s="1571"/>
      <c r="Y8" s="3665" t="s">
        <v>534</v>
      </c>
      <c r="Z8" s="3666"/>
      <c r="AA8" s="1572" t="e">
        <f t="shared" ref="AA8:AA46" si="3">D8/F8</f>
        <v>#DIV/0!</v>
      </c>
      <c r="AB8" s="1572" t="e">
        <f t="shared" ref="AB8:AB46" si="4">D8/H8</f>
        <v>#DIV/0!</v>
      </c>
      <c r="AC8" s="1572" t="e">
        <f t="shared" ref="AC8:AC46" si="5">D8/J8</f>
        <v>#DIV/0!</v>
      </c>
    </row>
    <row r="9" spans="1:29" s="1220" customFormat="1" ht="15">
      <c r="A9" s="2938"/>
      <c r="B9" s="2945"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73" t="s">
        <v>536</v>
      </c>
      <c r="Q9" s="1151" t="str">
        <f t="shared" ref="Q9:Q15" si="6">B9</f>
        <v>用途</v>
      </c>
      <c r="R9" s="1569" t="s">
        <v>8</v>
      </c>
      <c r="S9" s="1570">
        <f t="shared" si="0"/>
        <v>100</v>
      </c>
      <c r="T9" s="1569" t="s">
        <v>8</v>
      </c>
      <c r="U9" s="1570">
        <f t="shared" si="1"/>
        <v>100</v>
      </c>
      <c r="V9" s="1569" t="s">
        <v>8</v>
      </c>
      <c r="W9" s="1570">
        <f t="shared" si="2"/>
        <v>100</v>
      </c>
      <c r="X9" s="1571"/>
      <c r="Y9" s="3630"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0"/>
      <c r="B11" s="2944"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73"/>
      <c r="Q11" s="1151" t="str">
        <f t="shared" si="6"/>
        <v>容积率</v>
      </c>
      <c r="R11" s="1569" t="s">
        <v>11</v>
      </c>
      <c r="S11" s="1570" t="e">
        <f t="shared" si="0"/>
        <v>#N/A</v>
      </c>
      <c r="T11" s="1569" t="s">
        <v>11</v>
      </c>
      <c r="U11" s="1570" t="e">
        <f t="shared" si="1"/>
        <v>#N/A</v>
      </c>
      <c r="V11" s="1569" t="s">
        <v>11</v>
      </c>
      <c r="W11" s="1570" t="e">
        <f t="shared" si="2"/>
        <v>#N/A</v>
      </c>
      <c r="X11" s="1571"/>
      <c r="Y11" s="3630"/>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73"/>
      <c r="Q12" s="1151">
        <f t="shared" si="6"/>
        <v>111</v>
      </c>
      <c r="R12" s="1569" t="s">
        <v>11</v>
      </c>
      <c r="S12" s="1570">
        <f t="shared" si="0"/>
        <v>100</v>
      </c>
      <c r="T12" s="1569" t="s">
        <v>11</v>
      </c>
      <c r="U12" s="1570">
        <f t="shared" si="1"/>
        <v>100</v>
      </c>
      <c r="V12" s="1569" t="s">
        <v>11</v>
      </c>
      <c r="W12" s="1570">
        <f t="shared" si="2"/>
        <v>100</v>
      </c>
      <c r="X12" s="1571"/>
      <c r="Y12" s="3630"/>
      <c r="Z12" s="1150">
        <f t="shared" si="7"/>
        <v>111</v>
      </c>
      <c r="AA12" s="1572">
        <f>D12/F12</f>
        <v>1</v>
      </c>
      <c r="AB12" s="1572">
        <f>D12/H12</f>
        <v>1</v>
      </c>
      <c r="AC12" s="1572">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73"/>
      <c r="Q13" s="1151">
        <f t="shared" si="6"/>
        <v>111</v>
      </c>
      <c r="R13" s="1569" t="s">
        <v>11</v>
      </c>
      <c r="S13" s="1570">
        <f t="shared" si="0"/>
        <v>100</v>
      </c>
      <c r="T13" s="1569" t="s">
        <v>11</v>
      </c>
      <c r="U13" s="1570">
        <f t="shared" si="1"/>
        <v>100</v>
      </c>
      <c r="V13" s="1569" t="s">
        <v>11</v>
      </c>
      <c r="W13" s="1570">
        <f t="shared" si="2"/>
        <v>100</v>
      </c>
      <c r="X13" s="1571"/>
      <c r="Y13" s="3630"/>
      <c r="Z13" s="1150">
        <f t="shared" si="7"/>
        <v>111</v>
      </c>
      <c r="AA13" s="1572">
        <f t="shared" si="3"/>
        <v>1</v>
      </c>
      <c r="AB13" s="1572">
        <f t="shared" si="4"/>
        <v>1</v>
      </c>
      <c r="AC13" s="1572">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73"/>
      <c r="Q14" s="1151">
        <f t="shared" si="6"/>
        <v>111</v>
      </c>
      <c r="R14" s="1569" t="s">
        <v>11</v>
      </c>
      <c r="S14" s="1570">
        <f t="shared" si="0"/>
        <v>100</v>
      </c>
      <c r="T14" s="1569" t="s">
        <v>11</v>
      </c>
      <c r="U14" s="1570">
        <f t="shared" si="1"/>
        <v>100</v>
      </c>
      <c r="V14" s="1569" t="s">
        <v>11</v>
      </c>
      <c r="W14" s="1570">
        <f t="shared" si="2"/>
        <v>100</v>
      </c>
      <c r="X14" s="1571"/>
      <c r="Y14" s="3630"/>
      <c r="Z14" s="1150">
        <f t="shared" si="7"/>
        <v>111</v>
      </c>
      <c r="AA14" s="1572">
        <f t="shared" si="3"/>
        <v>1</v>
      </c>
      <c r="AB14" s="1572">
        <f t="shared" si="4"/>
        <v>1</v>
      </c>
      <c r="AC14" s="1572">
        <f t="shared" si="5"/>
        <v>1</v>
      </c>
    </row>
    <row r="15" spans="1:29" ht="28.5">
      <c r="A15" s="2934" t="s">
        <v>2761</v>
      </c>
      <c r="B15" s="166" t="s">
        <v>295</v>
      </c>
      <c r="C15" s="867" t="str">
        <f>估价对象房地状况!C3</f>
        <v>3.7公里 绿地香湖湾</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75" t="s">
        <v>541</v>
      </c>
      <c r="Q15" s="1573" t="str">
        <f t="shared" si="6"/>
        <v>居住社区成熟度</v>
      </c>
      <c r="R15" s="1574" t="s">
        <v>11</v>
      </c>
      <c r="S15" s="1575">
        <f t="shared" si="0"/>
        <v>100</v>
      </c>
      <c r="T15" s="1574" t="s">
        <v>11</v>
      </c>
      <c r="U15" s="1575">
        <f t="shared" si="1"/>
        <v>100</v>
      </c>
      <c r="V15" s="1574" t="s">
        <v>11</v>
      </c>
      <c r="W15" s="1575">
        <f t="shared" si="2"/>
        <v>100</v>
      </c>
      <c r="X15" s="1568"/>
      <c r="Y15" s="3675"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676"/>
      <c r="Q16" s="1573"/>
      <c r="R16" s="1574"/>
      <c r="S16" s="1575"/>
      <c r="T16" s="1574"/>
      <c r="U16" s="1575"/>
      <c r="V16" s="1574"/>
      <c r="W16" s="1575"/>
      <c r="X16" s="1568"/>
      <c r="Y16" s="36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76"/>
      <c r="Q17" s="1573" t="str">
        <f>B17</f>
        <v>交通便捷度</v>
      </c>
      <c r="R17" s="1574" t="s">
        <v>11</v>
      </c>
      <c r="S17" s="1575">
        <f>F17</f>
        <v>100</v>
      </c>
      <c r="T17" s="1574" t="s">
        <v>11</v>
      </c>
      <c r="U17" s="1575">
        <f>H17</f>
        <v>100</v>
      </c>
      <c r="V17" s="1574" t="s">
        <v>11</v>
      </c>
      <c r="W17" s="1575">
        <f>J17</f>
        <v>100</v>
      </c>
      <c r="X17" s="1568"/>
      <c r="Y17" s="36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676"/>
      <c r="Q18" s="1573"/>
      <c r="R18" s="1574"/>
      <c r="S18" s="1575"/>
      <c r="T18" s="1574"/>
      <c r="U18" s="1575"/>
      <c r="V18" s="1574"/>
      <c r="W18" s="1575"/>
      <c r="X18" s="1568"/>
      <c r="Y18" s="3676"/>
      <c r="Z18" s="1576"/>
      <c r="AA18" s="1577">
        <v>1</v>
      </c>
      <c r="AB18" s="1577">
        <v>1</v>
      </c>
      <c r="AC18" s="1577">
        <v>1</v>
      </c>
    </row>
    <row r="19" spans="1:29" ht="71.25">
      <c r="A19" s="532"/>
      <c r="B19" s="2623" t="s">
        <v>2553</v>
      </c>
      <c r="C19" s="872" t="str">
        <f>估价对象房地状况!C7</f>
        <v>无医院、1公里内八千乡刘店完全小学；1.9公里邮政三农服务站(湾左村卫生所西南)</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76"/>
      <c r="Q19" s="1573" t="str">
        <f>B19</f>
        <v>公共配套设施</v>
      </c>
      <c r="R19" s="1574" t="s">
        <v>11</v>
      </c>
      <c r="S19" s="1575">
        <f>F19</f>
        <v>100</v>
      </c>
      <c r="T19" s="1574" t="s">
        <v>11</v>
      </c>
      <c r="U19" s="1575">
        <f>H19</f>
        <v>100</v>
      </c>
      <c r="V19" s="1574" t="s">
        <v>11</v>
      </c>
      <c r="W19" s="1575">
        <f>J19</f>
        <v>100</v>
      </c>
      <c r="X19" s="1568"/>
      <c r="Y19" s="36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676"/>
      <c r="Q20" s="1573"/>
      <c r="R20" s="1574"/>
      <c r="S20" s="1575"/>
      <c r="T20" s="1574"/>
      <c r="U20" s="1575"/>
      <c r="V20" s="1574"/>
      <c r="W20" s="1575"/>
      <c r="X20" s="1568"/>
      <c r="Y20" s="3676"/>
      <c r="Z20" s="1576"/>
      <c r="AA20" s="1577">
        <v>1</v>
      </c>
      <c r="AB20" s="1577">
        <v>1</v>
      </c>
      <c r="AC20" s="1577">
        <v>1</v>
      </c>
    </row>
    <row r="21" spans="1:29" ht="28.5">
      <c r="A21" s="532"/>
      <c r="B21" s="2616"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76"/>
      <c r="Q21" s="2602" t="str">
        <f>B21</f>
        <v>基础设施水平</v>
      </c>
      <c r="R21" s="1574" t="s">
        <v>11</v>
      </c>
      <c r="S21" s="1575">
        <f>F21</f>
        <v>100</v>
      </c>
      <c r="T21" s="1574" t="s">
        <v>11</v>
      </c>
      <c r="U21" s="1575">
        <f>H21</f>
        <v>100</v>
      </c>
      <c r="V21" s="1574" t="s">
        <v>11</v>
      </c>
      <c r="W21" s="1575">
        <f>J21</f>
        <v>100</v>
      </c>
      <c r="X21" s="2604"/>
      <c r="Y21" s="3676"/>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2"/>
      <c r="L22" s="2143"/>
      <c r="M22" s="2135"/>
      <c r="N22" s="2135"/>
      <c r="O22" s="2142"/>
      <c r="P22" s="3676"/>
      <c r="Q22" s="2602"/>
      <c r="R22" s="1574"/>
      <c r="S22" s="1575"/>
      <c r="T22" s="1574"/>
      <c r="U22" s="1575"/>
      <c r="V22" s="1574"/>
      <c r="W22" s="1575"/>
      <c r="X22" s="2604"/>
      <c r="Y22" s="3676"/>
      <c r="Z22" s="2603"/>
      <c r="AA22" s="1577">
        <v>1</v>
      </c>
      <c r="AB22" s="1577">
        <v>1</v>
      </c>
      <c r="AC22" s="1577">
        <v>1</v>
      </c>
    </row>
    <row r="23" spans="1:29" ht="28.5">
      <c r="A23" s="532"/>
      <c r="B23" s="871" t="s">
        <v>297</v>
      </c>
      <c r="C23" s="872"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76"/>
      <c r="Q23" s="1573" t="str">
        <f>B23</f>
        <v>自然及人文环境</v>
      </c>
      <c r="R23" s="1574" t="s">
        <v>11</v>
      </c>
      <c r="S23" s="1575">
        <f>F23</f>
        <v>100</v>
      </c>
      <c r="T23" s="1574" t="s">
        <v>11</v>
      </c>
      <c r="U23" s="1575">
        <f>H23</f>
        <v>100</v>
      </c>
      <c r="V23" s="1574" t="s">
        <v>11</v>
      </c>
      <c r="W23" s="1575">
        <f>J23</f>
        <v>100</v>
      </c>
      <c r="X23" s="1568"/>
      <c r="Y23" s="36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676"/>
      <c r="Q24" s="1573"/>
      <c r="R24" s="1574"/>
      <c r="S24" s="1575"/>
      <c r="T24" s="1574"/>
      <c r="U24" s="1575"/>
      <c r="V24" s="1574"/>
      <c r="W24" s="1575"/>
      <c r="X24" s="1568"/>
      <c r="Y24" s="3676"/>
      <c r="Z24" s="1576"/>
      <c r="AA24" s="1577">
        <v>1</v>
      </c>
      <c r="AB24" s="1577">
        <v>1</v>
      </c>
      <c r="AC24" s="1577">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76"/>
      <c r="Q25" s="1573" t="str">
        <f t="shared" ref="Q25:Q46" si="11">B25</f>
        <v>楼层-1</v>
      </c>
      <c r="R25" s="1574" t="s">
        <v>11</v>
      </c>
      <c r="S25" s="1575">
        <f>F25</f>
        <v>100</v>
      </c>
      <c r="T25" s="1574" t="s">
        <v>11</v>
      </c>
      <c r="U25" s="1575">
        <f>H25</f>
        <v>100</v>
      </c>
      <c r="V25" s="1574" t="s">
        <v>11</v>
      </c>
      <c r="W25" s="1575">
        <f>J25</f>
        <v>100</v>
      </c>
      <c r="X25" s="1568"/>
      <c r="Y25" s="3676"/>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76"/>
      <c r="Q26" s="1573" t="str">
        <f t="shared" si="11"/>
        <v>朝向</v>
      </c>
      <c r="R26" s="1574" t="s">
        <v>11</v>
      </c>
      <c r="S26" s="1575">
        <f>F26</f>
        <v>100</v>
      </c>
      <c r="T26" s="1574" t="s">
        <v>11</v>
      </c>
      <c r="U26" s="1575">
        <f>H26</f>
        <v>100</v>
      </c>
      <c r="V26" s="1574" t="s">
        <v>11</v>
      </c>
      <c r="W26" s="1575">
        <f>J26</f>
        <v>100</v>
      </c>
      <c r="X26" s="1568"/>
      <c r="Y26" s="3676"/>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76"/>
      <c r="Q27" s="1151" t="str">
        <f t="shared" si="11"/>
        <v>道路级别</v>
      </c>
      <c r="R27" s="1569" t="s">
        <v>11</v>
      </c>
      <c r="S27" s="1570">
        <f>F27</f>
        <v>100</v>
      </c>
      <c r="T27" s="1569" t="s">
        <v>11</v>
      </c>
      <c r="U27" s="1570">
        <f>H27</f>
        <v>100</v>
      </c>
      <c r="V27" s="1569" t="s">
        <v>11</v>
      </c>
      <c r="W27" s="1570">
        <f>J27</f>
        <v>100</v>
      </c>
      <c r="X27" s="1571"/>
      <c r="Y27" s="367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76"/>
      <c r="Q28" s="1573">
        <f t="shared" si="11"/>
        <v>111</v>
      </c>
      <c r="R28" s="1574" t="s">
        <v>11</v>
      </c>
      <c r="S28" s="1575">
        <f t="shared" ref="S28:S46" si="12">F28</f>
        <v>100</v>
      </c>
      <c r="T28" s="1574" t="s">
        <v>11</v>
      </c>
      <c r="U28" s="1575">
        <f t="shared" ref="U28:U46" si="13">H28</f>
        <v>100</v>
      </c>
      <c r="V28" s="1574" t="s">
        <v>11</v>
      </c>
      <c r="W28" s="1575">
        <f t="shared" ref="W28:W46" si="14">J28</f>
        <v>100</v>
      </c>
      <c r="X28" s="1568"/>
      <c r="Y28" s="367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76"/>
      <c r="Q29" s="1573">
        <f t="shared" si="11"/>
        <v>111</v>
      </c>
      <c r="R29" s="1574" t="s">
        <v>11</v>
      </c>
      <c r="S29" s="1575">
        <f t="shared" si="12"/>
        <v>100</v>
      </c>
      <c r="T29" s="1574" t="s">
        <v>11</v>
      </c>
      <c r="U29" s="1575">
        <f t="shared" si="13"/>
        <v>100</v>
      </c>
      <c r="V29" s="1574" t="s">
        <v>11</v>
      </c>
      <c r="W29" s="1575">
        <f t="shared" si="14"/>
        <v>100</v>
      </c>
      <c r="X29" s="1568"/>
      <c r="Y29" s="36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76"/>
      <c r="Q30" s="1573">
        <f t="shared" si="11"/>
        <v>111</v>
      </c>
      <c r="R30" s="1574" t="s">
        <v>11</v>
      </c>
      <c r="S30" s="1575">
        <f t="shared" si="12"/>
        <v>100</v>
      </c>
      <c r="T30" s="1574" t="s">
        <v>11</v>
      </c>
      <c r="U30" s="1575">
        <f t="shared" si="13"/>
        <v>100</v>
      </c>
      <c r="V30" s="1574" t="s">
        <v>11</v>
      </c>
      <c r="W30" s="1575">
        <f t="shared" si="14"/>
        <v>100</v>
      </c>
      <c r="X30" s="1568"/>
      <c r="Y30" s="367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76"/>
      <c r="Q31" s="1573">
        <f t="shared" si="11"/>
        <v>111</v>
      </c>
      <c r="R31" s="1574" t="s">
        <v>11</v>
      </c>
      <c r="S31" s="1575">
        <f t="shared" si="12"/>
        <v>100</v>
      </c>
      <c r="T31" s="1574" t="s">
        <v>11</v>
      </c>
      <c r="U31" s="1575">
        <f t="shared" si="13"/>
        <v>100</v>
      </c>
      <c r="V31" s="1574" t="s">
        <v>11</v>
      </c>
      <c r="W31" s="1575">
        <f t="shared" si="14"/>
        <v>100</v>
      </c>
      <c r="X31" s="1568"/>
      <c r="Y31" s="3676"/>
      <c r="Z31" s="1576">
        <f t="shared" si="15"/>
        <v>111</v>
      </c>
      <c r="AA31" s="1577">
        <f t="shared" si="3"/>
        <v>1</v>
      </c>
      <c r="AB31" s="1577">
        <f t="shared" si="4"/>
        <v>1</v>
      </c>
      <c r="AC31" s="1577">
        <f t="shared" si="5"/>
        <v>1</v>
      </c>
    </row>
    <row r="32" spans="1:29" ht="15">
      <c r="A32" s="2931"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77" t="s">
        <v>551</v>
      </c>
      <c r="Q32" s="1573" t="str">
        <f t="shared" si="11"/>
        <v>建筑类型</v>
      </c>
      <c r="R32" s="1574" t="s">
        <v>11</v>
      </c>
      <c r="S32" s="1575">
        <f t="shared" si="12"/>
        <v>100</v>
      </c>
      <c r="T32" s="1574" t="s">
        <v>11</v>
      </c>
      <c r="U32" s="1575">
        <f t="shared" si="13"/>
        <v>100</v>
      </c>
      <c r="V32" s="1574" t="s">
        <v>11</v>
      </c>
      <c r="W32" s="1575">
        <f t="shared" si="14"/>
        <v>100</v>
      </c>
      <c r="X32" s="1568"/>
      <c r="Y32" s="3678"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78"/>
      <c r="Q33" s="1606" t="str">
        <f t="shared" si="11"/>
        <v>项目建筑规模</v>
      </c>
      <c r="R33" s="1578" t="s">
        <v>11</v>
      </c>
      <c r="S33" s="1579" t="e">
        <f t="shared" si="12"/>
        <v>#N/A</v>
      </c>
      <c r="T33" s="1578" t="s">
        <v>11</v>
      </c>
      <c r="U33" s="1579" t="e">
        <f t="shared" si="13"/>
        <v>#N/A</v>
      </c>
      <c r="V33" s="1578" t="s">
        <v>11</v>
      </c>
      <c r="W33" s="1579" t="e">
        <f t="shared" si="14"/>
        <v>#N/A</v>
      </c>
      <c r="X33" s="1580"/>
      <c r="Y33" s="3678"/>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78"/>
      <c r="Q34" s="1573" t="str">
        <f t="shared" si="11"/>
        <v>建筑结构</v>
      </c>
      <c r="R34" s="1574" t="s">
        <v>11</v>
      </c>
      <c r="S34" s="1575">
        <f t="shared" si="12"/>
        <v>100</v>
      </c>
      <c r="T34" s="1574" t="s">
        <v>11</v>
      </c>
      <c r="U34" s="1575">
        <f t="shared" si="13"/>
        <v>100</v>
      </c>
      <c r="V34" s="1574" t="s">
        <v>11</v>
      </c>
      <c r="W34" s="1575">
        <f t="shared" si="14"/>
        <v>100</v>
      </c>
      <c r="X34" s="1568"/>
      <c r="Y34" s="3678"/>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78"/>
      <c r="Q35" s="1573" t="str">
        <f t="shared" si="11"/>
        <v>建筑品质</v>
      </c>
      <c r="R35" s="1574" t="s">
        <v>11</v>
      </c>
      <c r="S35" s="1575">
        <f t="shared" si="12"/>
        <v>100</v>
      </c>
      <c r="T35" s="1574" t="s">
        <v>11</v>
      </c>
      <c r="U35" s="1575">
        <f t="shared" si="13"/>
        <v>100</v>
      </c>
      <c r="V35" s="1574" t="s">
        <v>11</v>
      </c>
      <c r="W35" s="1575">
        <f t="shared" si="14"/>
        <v>100</v>
      </c>
      <c r="X35" s="1568"/>
      <c r="Y35" s="3678"/>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78"/>
      <c r="Q36" s="1573" t="str">
        <f t="shared" si="11"/>
        <v>公共部分装修</v>
      </c>
      <c r="R36" s="1574" t="s">
        <v>11</v>
      </c>
      <c r="S36" s="1575">
        <f t="shared" si="12"/>
        <v>100</v>
      </c>
      <c r="T36" s="1574" t="s">
        <v>11</v>
      </c>
      <c r="U36" s="1575">
        <f t="shared" si="13"/>
        <v>100</v>
      </c>
      <c r="V36" s="1574" t="s">
        <v>11</v>
      </c>
      <c r="W36" s="1575">
        <f t="shared" si="14"/>
        <v>100</v>
      </c>
      <c r="X36" s="1568"/>
      <c r="Y36" s="3678"/>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78"/>
      <c r="Q37" s="1151" t="str">
        <f t="shared" si="11"/>
        <v>成新度</v>
      </c>
      <c r="R37" s="1569" t="s">
        <v>11</v>
      </c>
      <c r="S37" s="1570" t="e">
        <f t="shared" si="12"/>
        <v>#N/A</v>
      </c>
      <c r="T37" s="1569" t="s">
        <v>11</v>
      </c>
      <c r="U37" s="1570" t="e">
        <f t="shared" si="13"/>
        <v>#N/A</v>
      </c>
      <c r="V37" s="1569" t="s">
        <v>11</v>
      </c>
      <c r="W37" s="1570" t="e">
        <f t="shared" si="14"/>
        <v>#N/A</v>
      </c>
      <c r="X37" s="1571"/>
      <c r="Y37" s="3678"/>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78" t="s">
        <v>551</v>
      </c>
      <c r="Q38" s="1573" t="str">
        <f t="shared" si="11"/>
        <v>物业管理</v>
      </c>
      <c r="R38" s="1574" t="s">
        <v>11</v>
      </c>
      <c r="S38" s="1575">
        <f t="shared" si="12"/>
        <v>100</v>
      </c>
      <c r="T38" s="1574" t="s">
        <v>11</v>
      </c>
      <c r="U38" s="1575">
        <f t="shared" si="13"/>
        <v>100</v>
      </c>
      <c r="V38" s="1574" t="s">
        <v>11</v>
      </c>
      <c r="W38" s="1575">
        <f t="shared" si="14"/>
        <v>100</v>
      </c>
      <c r="X38" s="1568"/>
      <c r="Y38" s="3678" t="s">
        <v>551</v>
      </c>
      <c r="Z38" s="1576" t="str">
        <f t="shared" si="15"/>
        <v>物业管理</v>
      </c>
      <c r="AA38" s="1577">
        <f t="shared" si="3"/>
        <v>1</v>
      </c>
      <c r="AB38" s="1577">
        <f t="shared" si="4"/>
        <v>1</v>
      </c>
      <c r="AC38" s="1577">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78"/>
      <c r="Q39" s="1573" t="str">
        <f t="shared" si="11"/>
        <v>市政基础设施</v>
      </c>
      <c r="R39" s="1574" t="s">
        <v>11</v>
      </c>
      <c r="S39" s="1575">
        <f t="shared" si="12"/>
        <v>100</v>
      </c>
      <c r="T39" s="1574" t="s">
        <v>11</v>
      </c>
      <c r="U39" s="1575">
        <f t="shared" si="13"/>
        <v>100</v>
      </c>
      <c r="V39" s="1574" t="s">
        <v>11</v>
      </c>
      <c r="W39" s="1575">
        <f t="shared" si="14"/>
        <v>100</v>
      </c>
      <c r="X39" s="1568"/>
      <c r="Y39" s="3678"/>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78"/>
      <c r="Q40" s="1573" t="str">
        <f t="shared" si="11"/>
        <v>房型</v>
      </c>
      <c r="R40" s="1574" t="s">
        <v>11</v>
      </c>
      <c r="S40" s="1575">
        <f t="shared" si="12"/>
        <v>100</v>
      </c>
      <c r="T40" s="1574" t="s">
        <v>11</v>
      </c>
      <c r="U40" s="1575">
        <f t="shared" si="13"/>
        <v>100</v>
      </c>
      <c r="V40" s="1574" t="s">
        <v>11</v>
      </c>
      <c r="W40" s="1575">
        <f t="shared" si="14"/>
        <v>100</v>
      </c>
      <c r="X40" s="1568"/>
      <c r="Y40" s="3678"/>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78"/>
      <c r="Q41" s="1606" t="str">
        <f t="shared" si="11"/>
        <v>单套/主力户型建筑面积</v>
      </c>
      <c r="R41" s="1578" t="s">
        <v>11</v>
      </c>
      <c r="S41" s="1579">
        <f t="shared" si="12"/>
        <v>100</v>
      </c>
      <c r="T41" s="1578" t="s">
        <v>11</v>
      </c>
      <c r="U41" s="1579">
        <f t="shared" si="13"/>
        <v>100</v>
      </c>
      <c r="V41" s="1578" t="s">
        <v>11</v>
      </c>
      <c r="W41" s="1579">
        <f t="shared" si="14"/>
        <v>100</v>
      </c>
      <c r="X41" s="1580"/>
      <c r="Y41" s="3678"/>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78"/>
      <c r="Q42" s="1573" t="str">
        <f t="shared" si="11"/>
        <v>内部装修</v>
      </c>
      <c r="R42" s="1574" t="s">
        <v>11</v>
      </c>
      <c r="S42" s="1575">
        <f t="shared" si="12"/>
        <v>100</v>
      </c>
      <c r="T42" s="1574" t="s">
        <v>11</v>
      </c>
      <c r="U42" s="1575">
        <f t="shared" si="13"/>
        <v>100</v>
      </c>
      <c r="V42" s="1574" t="s">
        <v>11</v>
      </c>
      <c r="W42" s="1575">
        <f t="shared" si="14"/>
        <v>100</v>
      </c>
      <c r="X42" s="1568"/>
      <c r="Y42" s="3678"/>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78"/>
      <c r="Q43" s="1573" t="str">
        <f t="shared" si="11"/>
        <v>内部装修维护情况</v>
      </c>
      <c r="R43" s="1574" t="s">
        <v>11</v>
      </c>
      <c r="S43" s="1575">
        <f t="shared" si="12"/>
        <v>100</v>
      </c>
      <c r="T43" s="1574" t="s">
        <v>11</v>
      </c>
      <c r="U43" s="1575">
        <f t="shared" si="13"/>
        <v>100</v>
      </c>
      <c r="V43" s="1574" t="s">
        <v>11</v>
      </c>
      <c r="W43" s="1575">
        <f t="shared" si="14"/>
        <v>100</v>
      </c>
      <c r="X43" s="1568"/>
      <c r="Y43" s="36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78"/>
      <c r="Q44" s="1151">
        <f t="shared" si="11"/>
        <v>111</v>
      </c>
      <c r="R44" s="1569" t="s">
        <v>11</v>
      </c>
      <c r="S44" s="1570">
        <f t="shared" si="12"/>
        <v>100</v>
      </c>
      <c r="T44" s="1569" t="s">
        <v>11</v>
      </c>
      <c r="U44" s="1570">
        <f t="shared" si="13"/>
        <v>100</v>
      </c>
      <c r="V44" s="1569" t="s">
        <v>11</v>
      </c>
      <c r="W44" s="1570">
        <f t="shared" si="14"/>
        <v>100</v>
      </c>
      <c r="X44" s="1571"/>
      <c r="Y44" s="36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78"/>
      <c r="Q45" s="1573">
        <f t="shared" si="11"/>
        <v>111</v>
      </c>
      <c r="R45" s="1574" t="s">
        <v>11</v>
      </c>
      <c r="S45" s="1575">
        <f t="shared" si="12"/>
        <v>100</v>
      </c>
      <c r="T45" s="1574" t="s">
        <v>11</v>
      </c>
      <c r="U45" s="1575">
        <f t="shared" si="13"/>
        <v>100</v>
      </c>
      <c r="V45" s="1574" t="s">
        <v>11</v>
      </c>
      <c r="W45" s="1575">
        <f t="shared" si="14"/>
        <v>100</v>
      </c>
      <c r="X45" s="1568"/>
      <c r="Y45" s="367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4"/>
      <c r="Q46" s="1573">
        <f t="shared" si="11"/>
        <v>111</v>
      </c>
      <c r="R46" s="1574" t="s">
        <v>10</v>
      </c>
      <c r="S46" s="1575">
        <f t="shared" si="12"/>
        <v>100</v>
      </c>
      <c r="T46" s="1574" t="s">
        <v>10</v>
      </c>
      <c r="U46" s="1575">
        <f t="shared" si="13"/>
        <v>100</v>
      </c>
      <c r="V46" s="1574" t="s">
        <v>10</v>
      </c>
      <c r="W46" s="1575">
        <f t="shared" si="14"/>
        <v>100</v>
      </c>
      <c r="X46" s="1568"/>
      <c r="Y46" s="3774"/>
      <c r="Z46" s="1576">
        <f t="shared" si="15"/>
        <v>111</v>
      </c>
      <c r="AA46" s="1577">
        <f t="shared" si="3"/>
        <v>1</v>
      </c>
      <c r="AB46" s="1577">
        <f t="shared" si="4"/>
        <v>1</v>
      </c>
      <c r="AC46" s="1577">
        <f t="shared" si="5"/>
        <v>1</v>
      </c>
    </row>
    <row r="47" spans="1:29" ht="15">
      <c r="A47" s="607" t="s">
        <v>737</v>
      </c>
      <c r="B47" s="887"/>
      <c r="C47" s="2650" t="s">
        <v>9</v>
      </c>
      <c r="D47" s="2651"/>
      <c r="E47" s="2652"/>
      <c r="F47" s="2653"/>
      <c r="G47" s="2654"/>
      <c r="H47" s="2655"/>
      <c r="I47" s="2652"/>
      <c r="J47" s="2655"/>
      <c r="K47" s="1607"/>
      <c r="L47" s="2145"/>
      <c r="M47" s="2146"/>
      <c r="N47" s="2135"/>
      <c r="O47" s="2146"/>
      <c r="P47" s="3673" t="str">
        <f>A47</f>
        <v>成交单价（元/平方米）</v>
      </c>
      <c r="Q47" s="3673"/>
      <c r="R47" s="3773">
        <f>E47</f>
        <v>0</v>
      </c>
      <c r="S47" s="3773"/>
      <c r="T47" s="3773">
        <f>G47</f>
        <v>0</v>
      </c>
      <c r="U47" s="3773"/>
      <c r="V47" s="3773">
        <f>I47</f>
        <v>0</v>
      </c>
      <c r="W47" s="3773"/>
      <c r="X47" s="1560"/>
      <c r="Y47" s="1582"/>
      <c r="Z47" s="1560"/>
      <c r="AA47" s="1560"/>
      <c r="AB47" s="1560"/>
      <c r="AC47" s="1560"/>
    </row>
    <row r="48" spans="1:29" ht="15.75" thickBot="1">
      <c r="A48" s="615" t="s">
        <v>2767</v>
      </c>
      <c r="B48" s="888"/>
      <c r="C48" s="2656" t="e">
        <f>R49</f>
        <v>#DIV/0!</v>
      </c>
      <c r="D48" s="2657"/>
      <c r="E48" s="2658" t="e">
        <f>R48</f>
        <v>#DIV/0!</v>
      </c>
      <c r="F48" s="2658"/>
      <c r="G48" s="2656" t="e">
        <f>T48</f>
        <v>#DIV/0!</v>
      </c>
      <c r="H48" s="2657"/>
      <c r="I48" s="2658" t="e">
        <f>V48</f>
        <v>#DIV/0!</v>
      </c>
      <c r="J48" s="2657"/>
      <c r="K48" s="1608"/>
      <c r="L48" s="2145"/>
      <c r="M48" s="2146"/>
      <c r="N48" s="2146"/>
      <c r="O48" s="2146"/>
      <c r="P48" s="3673" t="str">
        <f>A48</f>
        <v>比较价格（元/平方米）</v>
      </c>
      <c r="Q48" s="3673"/>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560"/>
      <c r="Y48" s="1560"/>
      <c r="Z48" s="1560"/>
      <c r="AA48" s="1560"/>
      <c r="AB48" s="1560"/>
      <c r="AC48" s="1560"/>
    </row>
    <row r="49" spans="1:29" ht="15.75" thickBot="1">
      <c r="A49" s="621" t="s">
        <v>2942</v>
      </c>
      <c r="B49" s="622"/>
      <c r="C49" s="2659" t="e">
        <f>R49</f>
        <v>#DIV/0!</v>
      </c>
      <c r="D49" s="2659"/>
      <c r="E49" s="2659"/>
      <c r="F49" s="2659"/>
      <c r="G49" s="2659"/>
      <c r="H49" s="2659"/>
      <c r="I49" s="2659"/>
      <c r="J49" s="2659"/>
      <c r="K49" s="1609"/>
      <c r="L49" s="2145"/>
      <c r="M49" s="2146"/>
      <c r="N49" s="2146"/>
      <c r="O49" s="2146"/>
      <c r="P49" s="3694" t="str">
        <f>A49</f>
        <v>估价对象XX用房的比较价格（楼面单价，元/平方米）</v>
      </c>
      <c r="Q49" s="3695"/>
      <c r="R49" s="3772" t="e">
        <f>IF(F1="售价",ROUND(AVERAGE(R48:V48),0),ROUND(AVERAGE(R48:V48),1))</f>
        <v>#DIV/0!</v>
      </c>
      <c r="S49" s="3772"/>
      <c r="T49" s="3772"/>
      <c r="U49" s="3772"/>
      <c r="V49" s="3772"/>
      <c r="W49" s="377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0" t="s">
        <v>2565</v>
      </c>
      <c r="C82" s="2621" t="s">
        <v>2566</v>
      </c>
      <c r="D82" s="2621" t="s">
        <v>2567</v>
      </c>
      <c r="E82" s="2621" t="s">
        <v>2568</v>
      </c>
      <c r="F82" s="2621" t="s">
        <v>2569</v>
      </c>
      <c r="G82" s="2621" t="s">
        <v>2570</v>
      </c>
      <c r="H82" s="674"/>
      <c r="I82" s="674"/>
      <c r="J82" s="674"/>
      <c r="K82" s="674"/>
      <c r="L82" s="674"/>
      <c r="M82" s="2624"/>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79" t="s">
        <v>523</v>
      </c>
      <c r="D4" s="3680"/>
      <c r="E4" s="3703" t="s">
        <v>524</v>
      </c>
      <c r="F4" s="3704"/>
      <c r="G4" s="3679" t="s">
        <v>525</v>
      </c>
      <c r="H4" s="3680"/>
      <c r="I4" s="3679" t="s">
        <v>526</v>
      </c>
      <c r="J4" s="3680"/>
      <c r="K4" s="514" t="s">
        <v>527</v>
      </c>
      <c r="L4" s="2134"/>
      <c r="M4" s="2135"/>
      <c r="N4" s="2135"/>
      <c r="O4" s="2135"/>
      <c r="P4" s="3681" t="s">
        <v>528</v>
      </c>
      <c r="Q4" s="3682"/>
      <c r="R4" s="3667" t="s">
        <v>524</v>
      </c>
      <c r="S4" s="3668"/>
      <c r="T4" s="3667" t="s">
        <v>525</v>
      </c>
      <c r="U4" s="3668"/>
      <c r="V4" s="3687" t="s">
        <v>526</v>
      </c>
      <c r="W4" s="3687"/>
      <c r="X4" s="1568"/>
      <c r="Y4" s="3667" t="s">
        <v>528</v>
      </c>
      <c r="Z4" s="3668"/>
      <c r="AA4" s="3662" t="s">
        <v>524</v>
      </c>
      <c r="AB4" s="3687" t="s">
        <v>525</v>
      </c>
      <c r="AC4" s="3662" t="s">
        <v>526</v>
      </c>
    </row>
    <row r="5" spans="1:29" ht="15">
      <c r="A5" s="515"/>
      <c r="B5" s="516"/>
      <c r="C5" s="3690" t="s">
        <v>2936</v>
      </c>
      <c r="D5" s="3691"/>
      <c r="E5" s="3705" t="s">
        <v>2937</v>
      </c>
      <c r="F5" s="3706"/>
      <c r="G5" s="3690" t="s">
        <v>2938</v>
      </c>
      <c r="H5" s="3691"/>
      <c r="I5" s="3690" t="s">
        <v>2939</v>
      </c>
      <c r="J5" s="3691"/>
      <c r="K5" s="514"/>
      <c r="L5" s="2134"/>
      <c r="M5" s="2135"/>
      <c r="N5" s="2135"/>
      <c r="O5" s="2135"/>
      <c r="P5" s="3683"/>
      <c r="Q5" s="3684"/>
      <c r="R5" s="3669"/>
      <c r="S5" s="3670"/>
      <c r="T5" s="3669"/>
      <c r="U5" s="3670"/>
      <c r="V5" s="3687"/>
      <c r="W5" s="3687"/>
      <c r="X5" s="1568"/>
      <c r="Y5" s="3669"/>
      <c r="Z5" s="3670"/>
      <c r="AA5" s="3663"/>
      <c r="AB5" s="3687"/>
      <c r="AC5" s="3663"/>
    </row>
    <row r="6" spans="1:29" ht="15.75" thickBot="1">
      <c r="A6" s="517"/>
      <c r="B6" s="518"/>
      <c r="C6" s="3688" t="s">
        <v>2940</v>
      </c>
      <c r="D6" s="3689"/>
      <c r="E6" s="3707" t="s">
        <v>2940</v>
      </c>
      <c r="F6" s="3708"/>
      <c r="G6" s="3688" t="s">
        <v>2940</v>
      </c>
      <c r="H6" s="3689"/>
      <c r="I6" s="3688" t="s">
        <v>2940</v>
      </c>
      <c r="J6" s="3689"/>
      <c r="K6" s="514" t="s">
        <v>529</v>
      </c>
      <c r="L6" s="2134"/>
      <c r="M6" s="2135"/>
      <c r="N6" s="2135"/>
      <c r="O6" s="2135"/>
      <c r="P6" s="3685"/>
      <c r="Q6" s="3686"/>
      <c r="R6" s="3669"/>
      <c r="S6" s="3670"/>
      <c r="T6" s="3671"/>
      <c r="U6" s="3672"/>
      <c r="V6" s="3687"/>
      <c r="W6" s="3687"/>
      <c r="X6" s="1568"/>
      <c r="Y6" s="3671"/>
      <c r="Z6" s="3672"/>
      <c r="AA6" s="3664"/>
      <c r="AB6" s="3687"/>
      <c r="AC6" s="3664"/>
    </row>
    <row r="7" spans="1:29" s="1220" customFormat="1" ht="15.75" thickBot="1">
      <c r="A7" s="2936"/>
      <c r="B7" s="2943" t="s">
        <v>530</v>
      </c>
      <c r="C7" s="519">
        <f>'数据-取费表'!B2</f>
        <v>43136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65" t="s">
        <v>531</v>
      </c>
      <c r="Q7" s="3674"/>
      <c r="R7" s="1569" t="s">
        <v>8</v>
      </c>
      <c r="S7" s="1570">
        <f t="shared" ref="S7:S15" si="0">F7</f>
        <v>0</v>
      </c>
      <c r="T7" s="1569" t="s">
        <v>8</v>
      </c>
      <c r="U7" s="1570">
        <f t="shared" ref="U7:U15" si="1">H7</f>
        <v>0</v>
      </c>
      <c r="V7" s="1569" t="s">
        <v>8</v>
      </c>
      <c r="W7" s="1570">
        <f t="shared" ref="W7:W15"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65" t="s">
        <v>534</v>
      </c>
      <c r="Q8" s="3666"/>
      <c r="R8" s="1569" t="s">
        <v>8</v>
      </c>
      <c r="S8" s="1570">
        <f t="shared" si="0"/>
        <v>0</v>
      </c>
      <c r="T8" s="1569" t="s">
        <v>8</v>
      </c>
      <c r="U8" s="1570">
        <f t="shared" si="1"/>
        <v>0</v>
      </c>
      <c r="V8" s="1569" t="s">
        <v>8</v>
      </c>
      <c r="W8" s="1570">
        <f t="shared" si="2"/>
        <v>0</v>
      </c>
      <c r="X8" s="1571"/>
      <c r="Y8" s="3665" t="s">
        <v>534</v>
      </c>
      <c r="Z8" s="3666"/>
      <c r="AA8" s="1572" t="e">
        <f t="shared" ref="AA8:AA46" si="3">D8/F8</f>
        <v>#DIV/0!</v>
      </c>
      <c r="AB8" s="1572" t="e">
        <f t="shared" ref="AB8:AB46" si="4">D8/H8</f>
        <v>#DIV/0!</v>
      </c>
      <c r="AC8" s="1572" t="e">
        <f t="shared" ref="AC8:AC46" si="5">D8/J8</f>
        <v>#DIV/0!</v>
      </c>
    </row>
    <row r="9" spans="1:29" s="1220" customFormat="1" ht="15">
      <c r="A9" s="2938"/>
      <c r="B9" s="2945"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73" t="s">
        <v>536</v>
      </c>
      <c r="Q9" s="1151" t="str">
        <f t="shared" ref="Q9:Q15" si="6">B9</f>
        <v>用途</v>
      </c>
      <c r="R9" s="1569" t="s">
        <v>8</v>
      </c>
      <c r="S9" s="1570">
        <f t="shared" si="0"/>
        <v>100</v>
      </c>
      <c r="T9" s="1569" t="s">
        <v>8</v>
      </c>
      <c r="U9" s="1570">
        <f t="shared" si="1"/>
        <v>100</v>
      </c>
      <c r="V9" s="1569" t="s">
        <v>8</v>
      </c>
      <c r="W9" s="1570">
        <f t="shared" si="2"/>
        <v>100</v>
      </c>
      <c r="X9" s="1571"/>
      <c r="Y9" s="3630"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73"/>
      <c r="Q11" s="1151" t="str">
        <f t="shared" si="6"/>
        <v>容积率</v>
      </c>
      <c r="R11" s="1569" t="s">
        <v>8</v>
      </c>
      <c r="S11" s="1570" t="e">
        <f t="shared" si="0"/>
        <v>#N/A</v>
      </c>
      <c r="T11" s="1569" t="s">
        <v>8</v>
      </c>
      <c r="U11" s="1570" t="e">
        <f t="shared" si="1"/>
        <v>#N/A</v>
      </c>
      <c r="V11" s="1569" t="s">
        <v>8</v>
      </c>
      <c r="W11" s="1570" t="e">
        <f t="shared" si="2"/>
        <v>#N/A</v>
      </c>
      <c r="X11" s="1571"/>
      <c r="Y11" s="3630"/>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73"/>
      <c r="Q12" s="1151">
        <f t="shared" si="6"/>
        <v>111</v>
      </c>
      <c r="R12" s="1569" t="s">
        <v>8</v>
      </c>
      <c r="S12" s="1570">
        <f t="shared" si="0"/>
        <v>100</v>
      </c>
      <c r="T12" s="1569" t="s">
        <v>8</v>
      </c>
      <c r="U12" s="1570">
        <f t="shared" si="1"/>
        <v>100</v>
      </c>
      <c r="V12" s="1569" t="s">
        <v>8</v>
      </c>
      <c r="W12" s="1570">
        <f t="shared" si="2"/>
        <v>100</v>
      </c>
      <c r="X12" s="1571"/>
      <c r="Y12" s="3630"/>
      <c r="Z12" s="1150">
        <f t="shared" si="7"/>
        <v>111</v>
      </c>
      <c r="AA12" s="1572">
        <f>D12/F12</f>
        <v>1</v>
      </c>
      <c r="AB12" s="1572">
        <f>D12/H12</f>
        <v>1</v>
      </c>
      <c r="AC12" s="1572">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73"/>
      <c r="Q13" s="1151">
        <f t="shared" si="6"/>
        <v>111</v>
      </c>
      <c r="R13" s="1569" t="s">
        <v>8</v>
      </c>
      <c r="S13" s="1570">
        <f t="shared" si="0"/>
        <v>100</v>
      </c>
      <c r="T13" s="1569" t="s">
        <v>8</v>
      </c>
      <c r="U13" s="1570">
        <f t="shared" si="1"/>
        <v>100</v>
      </c>
      <c r="V13" s="1569" t="s">
        <v>8</v>
      </c>
      <c r="W13" s="1570">
        <f t="shared" si="2"/>
        <v>100</v>
      </c>
      <c r="X13" s="1571"/>
      <c r="Y13" s="3630"/>
      <c r="Z13" s="1150">
        <f t="shared" si="7"/>
        <v>111</v>
      </c>
      <c r="AA13" s="1572">
        <f t="shared" si="3"/>
        <v>1</v>
      </c>
      <c r="AB13" s="1572">
        <f t="shared" si="4"/>
        <v>1</v>
      </c>
      <c r="AC13" s="1572">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73"/>
      <c r="Q14" s="1151">
        <f t="shared" si="6"/>
        <v>111</v>
      </c>
      <c r="R14" s="1569" t="s">
        <v>8</v>
      </c>
      <c r="S14" s="1570">
        <f t="shared" si="0"/>
        <v>100</v>
      </c>
      <c r="T14" s="1569" t="s">
        <v>8</v>
      </c>
      <c r="U14" s="1570">
        <f t="shared" si="1"/>
        <v>100</v>
      </c>
      <c r="V14" s="1569" t="s">
        <v>8</v>
      </c>
      <c r="W14" s="1570">
        <f t="shared" si="2"/>
        <v>100</v>
      </c>
      <c r="X14" s="1571"/>
      <c r="Y14" s="3630"/>
      <c r="Z14" s="1150">
        <f t="shared" si="7"/>
        <v>111</v>
      </c>
      <c r="AA14" s="1572">
        <f t="shared" si="3"/>
        <v>1</v>
      </c>
      <c r="AB14" s="1572">
        <f t="shared" si="4"/>
        <v>1</v>
      </c>
      <c r="AC14" s="1572">
        <f t="shared" si="5"/>
        <v>1</v>
      </c>
    </row>
    <row r="15" spans="1:29" ht="71.25">
      <c r="A15" s="2934"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75" t="s">
        <v>541</v>
      </c>
      <c r="Q15" s="1573" t="str">
        <f t="shared" si="6"/>
        <v>商业繁华度</v>
      </c>
      <c r="R15" s="1574" t="s">
        <v>8</v>
      </c>
      <c r="S15" s="1575">
        <f t="shared" si="0"/>
        <v>100</v>
      </c>
      <c r="T15" s="1574" t="s">
        <v>8</v>
      </c>
      <c r="U15" s="1575">
        <f t="shared" si="1"/>
        <v>100</v>
      </c>
      <c r="V15" s="1574" t="s">
        <v>8</v>
      </c>
      <c r="W15" s="1575">
        <f t="shared" si="2"/>
        <v>100</v>
      </c>
      <c r="X15" s="1568"/>
      <c r="Y15" s="3675"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76"/>
      <c r="Q16" s="1573"/>
      <c r="R16" s="1574"/>
      <c r="S16" s="1575"/>
      <c r="T16" s="1574"/>
      <c r="U16" s="1575"/>
      <c r="V16" s="1574"/>
      <c r="W16" s="1575"/>
      <c r="X16" s="1568"/>
      <c r="Y16" s="36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76"/>
      <c r="Q17" s="1573" t="str">
        <f>B17</f>
        <v>交通便捷度</v>
      </c>
      <c r="R17" s="1574" t="s">
        <v>8</v>
      </c>
      <c r="S17" s="1575">
        <f>F17</f>
        <v>100</v>
      </c>
      <c r="T17" s="1574" t="s">
        <v>8</v>
      </c>
      <c r="U17" s="1575">
        <f>H17</f>
        <v>100</v>
      </c>
      <c r="V17" s="1574" t="s">
        <v>8</v>
      </c>
      <c r="W17" s="1575">
        <f>J17</f>
        <v>100</v>
      </c>
      <c r="X17" s="1568"/>
      <c r="Y17" s="36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76"/>
      <c r="Q18" s="1573"/>
      <c r="R18" s="1574"/>
      <c r="S18" s="1575"/>
      <c r="T18" s="1574"/>
      <c r="U18" s="1575"/>
      <c r="V18" s="1574"/>
      <c r="W18" s="1575"/>
      <c r="X18" s="1568"/>
      <c r="Y18" s="3676"/>
      <c r="Z18" s="1576"/>
      <c r="AA18" s="1577">
        <v>1</v>
      </c>
      <c r="AB18" s="1577">
        <v>1</v>
      </c>
      <c r="AC18" s="1577">
        <v>1</v>
      </c>
    </row>
    <row r="19" spans="1:29" ht="85.5">
      <c r="A19" s="532"/>
      <c r="B19" s="2623" t="s">
        <v>2553</v>
      </c>
      <c r="C19" s="872" t="str">
        <f>估价对象房地状况!C7</f>
        <v>无医院、1公里内八千乡刘店完全小学；1.9公里邮政三农服务站(湾左村卫生所西南)</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76"/>
      <c r="Q19" s="1573" t="str">
        <f>B19</f>
        <v>公共配套设施</v>
      </c>
      <c r="R19" s="1574" t="s">
        <v>8</v>
      </c>
      <c r="S19" s="1575">
        <f>F19</f>
        <v>100</v>
      </c>
      <c r="T19" s="1574" t="s">
        <v>8</v>
      </c>
      <c r="U19" s="1575">
        <f>H19</f>
        <v>100</v>
      </c>
      <c r="V19" s="1574" t="s">
        <v>8</v>
      </c>
      <c r="W19" s="1575">
        <f>J19</f>
        <v>100</v>
      </c>
      <c r="X19" s="1568"/>
      <c r="Y19" s="36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676"/>
      <c r="Q20" s="1573"/>
      <c r="R20" s="1574"/>
      <c r="S20" s="1575"/>
      <c r="T20" s="1574"/>
      <c r="U20" s="1575"/>
      <c r="V20" s="1574"/>
      <c r="W20" s="1575"/>
      <c r="X20" s="1568"/>
      <c r="Y20" s="3676"/>
      <c r="Z20" s="1576"/>
      <c r="AA20" s="1577">
        <v>1</v>
      </c>
      <c r="AB20" s="1577">
        <v>1</v>
      </c>
      <c r="AC20" s="1577">
        <v>1</v>
      </c>
    </row>
    <row r="21" spans="1:29" ht="28.5">
      <c r="A21" s="532"/>
      <c r="B21" s="2616"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76"/>
      <c r="Q21" s="2602" t="str">
        <f>B21</f>
        <v>基础设施水平</v>
      </c>
      <c r="R21" s="1574" t="s">
        <v>8</v>
      </c>
      <c r="S21" s="1575">
        <f>F21</f>
        <v>100</v>
      </c>
      <c r="T21" s="1574" t="s">
        <v>8</v>
      </c>
      <c r="U21" s="1575">
        <f>H21</f>
        <v>100</v>
      </c>
      <c r="V21" s="1574" t="s">
        <v>8</v>
      </c>
      <c r="W21" s="1575">
        <f>J21</f>
        <v>100</v>
      </c>
      <c r="X21" s="2604"/>
      <c r="Y21" s="3676"/>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3"/>
      <c r="M22" s="2135"/>
      <c r="N22" s="2135"/>
      <c r="O22" s="2142"/>
      <c r="P22" s="3676"/>
      <c r="Q22" s="2602"/>
      <c r="R22" s="1574"/>
      <c r="S22" s="1575"/>
      <c r="T22" s="1574"/>
      <c r="U22" s="1575"/>
      <c r="V22" s="1574"/>
      <c r="W22" s="1575"/>
      <c r="X22" s="2604"/>
      <c r="Y22" s="3676"/>
      <c r="Z22" s="2603"/>
      <c r="AA22" s="1577">
        <v>1</v>
      </c>
      <c r="AB22" s="1577">
        <v>1</v>
      </c>
      <c r="AC22" s="1577">
        <v>1</v>
      </c>
    </row>
    <row r="23" spans="1:29" ht="28.5">
      <c r="A23" s="532"/>
      <c r="B23" s="871" t="s">
        <v>297</v>
      </c>
      <c r="C23" s="900"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76"/>
      <c r="Q23" s="1573" t="str">
        <f>B23</f>
        <v>自然及人文环境</v>
      </c>
      <c r="R23" s="1574" t="s">
        <v>8</v>
      </c>
      <c r="S23" s="1575">
        <f>F23</f>
        <v>100</v>
      </c>
      <c r="T23" s="1574" t="s">
        <v>8</v>
      </c>
      <c r="U23" s="1575">
        <f>H23</f>
        <v>100</v>
      </c>
      <c r="V23" s="1574" t="s">
        <v>8</v>
      </c>
      <c r="W23" s="1575">
        <f>J23</f>
        <v>100</v>
      </c>
      <c r="X23" s="1568"/>
      <c r="Y23" s="36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676"/>
      <c r="Q24" s="1573"/>
      <c r="R24" s="1574"/>
      <c r="S24" s="1575"/>
      <c r="T24" s="1574"/>
      <c r="U24" s="1575"/>
      <c r="V24" s="1574"/>
      <c r="W24" s="1575"/>
      <c r="X24" s="1568"/>
      <c r="Y24" s="3676"/>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76"/>
      <c r="Q25" s="1573" t="str">
        <f t="shared" ref="Q25:Q46" si="11">B25</f>
        <v>临街状况</v>
      </c>
      <c r="R25" s="1574" t="s">
        <v>8</v>
      </c>
      <c r="S25" s="1575">
        <f>F25</f>
        <v>100</v>
      </c>
      <c r="T25" s="1574" t="s">
        <v>8</v>
      </c>
      <c r="U25" s="1575">
        <f>H25</f>
        <v>100</v>
      </c>
      <c r="V25" s="1574" t="s">
        <v>8</v>
      </c>
      <c r="W25" s="1575">
        <f>J25</f>
        <v>100</v>
      </c>
      <c r="X25" s="1568"/>
      <c r="Y25" s="3676"/>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76"/>
      <c r="Q26" s="1573" t="str">
        <f t="shared" si="11"/>
        <v>平面位置/可视性</v>
      </c>
      <c r="R26" s="1574" t="s">
        <v>8</v>
      </c>
      <c r="S26" s="1575">
        <f>F26</f>
        <v>100</v>
      </c>
      <c r="T26" s="1574" t="s">
        <v>8</v>
      </c>
      <c r="U26" s="1575">
        <f>H26</f>
        <v>100</v>
      </c>
      <c r="V26" s="1574" t="s">
        <v>8</v>
      </c>
      <c r="W26" s="1575">
        <f>J26</f>
        <v>100</v>
      </c>
      <c r="X26" s="1568"/>
      <c r="Y26" s="3676"/>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76"/>
      <c r="Q27" s="1151" t="str">
        <f t="shared" si="11"/>
        <v>人流量</v>
      </c>
      <c r="R27" s="1569" t="s">
        <v>8</v>
      </c>
      <c r="S27" s="1570">
        <f>F27</f>
        <v>100</v>
      </c>
      <c r="T27" s="1569" t="s">
        <v>8</v>
      </c>
      <c r="U27" s="1570">
        <f>H27</f>
        <v>100</v>
      </c>
      <c r="V27" s="1569" t="s">
        <v>8</v>
      </c>
      <c r="W27" s="1570">
        <f>J27</f>
        <v>100</v>
      </c>
      <c r="X27" s="1571"/>
      <c r="Y27" s="3676"/>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7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7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76"/>
      <c r="Q29" s="1573">
        <f t="shared" si="11"/>
        <v>111</v>
      </c>
      <c r="R29" s="1574" t="s">
        <v>8</v>
      </c>
      <c r="S29" s="1575">
        <f t="shared" si="12"/>
        <v>100</v>
      </c>
      <c r="T29" s="1574" t="s">
        <v>8</v>
      </c>
      <c r="U29" s="1575">
        <f t="shared" si="13"/>
        <v>100</v>
      </c>
      <c r="V29" s="1574" t="s">
        <v>8</v>
      </c>
      <c r="W29" s="1575">
        <f t="shared" si="14"/>
        <v>100</v>
      </c>
      <c r="X29" s="1568"/>
      <c r="Y29" s="36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76"/>
      <c r="Q30" s="1573">
        <f t="shared" si="11"/>
        <v>111</v>
      </c>
      <c r="R30" s="1574" t="s">
        <v>8</v>
      </c>
      <c r="S30" s="1575">
        <f t="shared" si="12"/>
        <v>100</v>
      </c>
      <c r="T30" s="1574" t="s">
        <v>8</v>
      </c>
      <c r="U30" s="1575">
        <f t="shared" si="13"/>
        <v>100</v>
      </c>
      <c r="V30" s="1574" t="s">
        <v>8</v>
      </c>
      <c r="W30" s="1575">
        <f t="shared" si="14"/>
        <v>100</v>
      </c>
      <c r="X30" s="1568"/>
      <c r="Y30" s="367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76"/>
      <c r="Q31" s="1573">
        <f t="shared" si="11"/>
        <v>111</v>
      </c>
      <c r="R31" s="1574" t="s">
        <v>8</v>
      </c>
      <c r="S31" s="1575">
        <f t="shared" si="12"/>
        <v>100</v>
      </c>
      <c r="T31" s="1574" t="s">
        <v>8</v>
      </c>
      <c r="U31" s="1575">
        <f t="shared" si="13"/>
        <v>100</v>
      </c>
      <c r="V31" s="1574" t="s">
        <v>8</v>
      </c>
      <c r="W31" s="1575">
        <f t="shared" si="14"/>
        <v>100</v>
      </c>
      <c r="X31" s="1568"/>
      <c r="Y31" s="3676"/>
      <c r="Z31" s="1576">
        <f t="shared" si="15"/>
        <v>111</v>
      </c>
      <c r="AA31" s="1577">
        <f t="shared" si="3"/>
        <v>1</v>
      </c>
      <c r="AB31" s="1577">
        <f t="shared" si="4"/>
        <v>1</v>
      </c>
      <c r="AC31" s="1577">
        <f t="shared" si="5"/>
        <v>1</v>
      </c>
    </row>
    <row r="32" spans="1:29" ht="15">
      <c r="A32" s="2931"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77" t="s">
        <v>551</v>
      </c>
      <c r="Q32" s="1573" t="str">
        <f t="shared" si="11"/>
        <v>商业类型</v>
      </c>
      <c r="R32" s="1574" t="s">
        <v>8</v>
      </c>
      <c r="S32" s="1575">
        <f t="shared" si="12"/>
        <v>100</v>
      </c>
      <c r="T32" s="1574" t="s">
        <v>8</v>
      </c>
      <c r="U32" s="1575">
        <f t="shared" si="13"/>
        <v>100</v>
      </c>
      <c r="V32" s="1574" t="s">
        <v>8</v>
      </c>
      <c r="W32" s="1575">
        <f t="shared" si="14"/>
        <v>100</v>
      </c>
      <c r="X32" s="1568"/>
      <c r="Y32" s="3678"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78"/>
      <c r="Q33" s="1606" t="str">
        <f t="shared" si="11"/>
        <v>项目建筑规模</v>
      </c>
      <c r="R33" s="1578" t="s">
        <v>8</v>
      </c>
      <c r="S33" s="1579" t="e">
        <f t="shared" si="12"/>
        <v>#N/A</v>
      </c>
      <c r="T33" s="1578" t="s">
        <v>8</v>
      </c>
      <c r="U33" s="1579" t="e">
        <f t="shared" si="13"/>
        <v>#N/A</v>
      </c>
      <c r="V33" s="1578" t="s">
        <v>8</v>
      </c>
      <c r="W33" s="1579" t="e">
        <f t="shared" si="14"/>
        <v>#N/A</v>
      </c>
      <c r="X33" s="1580"/>
      <c r="Y33" s="3678"/>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78"/>
      <c r="Q34" s="1573" t="str">
        <f t="shared" si="11"/>
        <v>建筑结构</v>
      </c>
      <c r="R34" s="1574" t="s">
        <v>8</v>
      </c>
      <c r="S34" s="1575">
        <f t="shared" si="12"/>
        <v>100</v>
      </c>
      <c r="T34" s="1574" t="s">
        <v>8</v>
      </c>
      <c r="U34" s="1575">
        <f t="shared" si="13"/>
        <v>100</v>
      </c>
      <c r="V34" s="1574" t="s">
        <v>8</v>
      </c>
      <c r="W34" s="1575">
        <f t="shared" si="14"/>
        <v>100</v>
      </c>
      <c r="X34" s="1568"/>
      <c r="Y34" s="3678"/>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78"/>
      <c r="Q35" s="1573" t="str">
        <f t="shared" si="11"/>
        <v>公共部分装修</v>
      </c>
      <c r="R35" s="1574" t="s">
        <v>8</v>
      </c>
      <c r="S35" s="1575">
        <f t="shared" si="12"/>
        <v>100</v>
      </c>
      <c r="T35" s="1574" t="s">
        <v>8</v>
      </c>
      <c r="U35" s="1575">
        <f t="shared" si="13"/>
        <v>100</v>
      </c>
      <c r="V35" s="1574" t="s">
        <v>8</v>
      </c>
      <c r="W35" s="1575">
        <f t="shared" si="14"/>
        <v>100</v>
      </c>
      <c r="X35" s="1568"/>
      <c r="Y35" s="3678"/>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78"/>
      <c r="Q36" s="1573" t="str">
        <f t="shared" si="11"/>
        <v>成新度</v>
      </c>
      <c r="R36" s="1574" t="s">
        <v>8</v>
      </c>
      <c r="S36" s="1575" t="e">
        <f t="shared" si="12"/>
        <v>#N/A</v>
      </c>
      <c r="T36" s="1574" t="s">
        <v>8</v>
      </c>
      <c r="U36" s="1575" t="e">
        <f t="shared" si="13"/>
        <v>#N/A</v>
      </c>
      <c r="V36" s="1574" t="s">
        <v>8</v>
      </c>
      <c r="W36" s="1575" t="e">
        <f t="shared" si="14"/>
        <v>#N/A</v>
      </c>
      <c r="X36" s="1568"/>
      <c r="Y36" s="3678"/>
      <c r="Z36" s="1576" t="str">
        <f t="shared" si="15"/>
        <v>成新度</v>
      </c>
      <c r="AA36" s="1577" t="e">
        <f t="shared" si="3"/>
        <v>#N/A</v>
      </c>
      <c r="AB36" s="1577" t="e">
        <f t="shared" si="4"/>
        <v>#N/A</v>
      </c>
      <c r="AC36" s="1577"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78"/>
      <c r="Q37" s="1151" t="str">
        <f t="shared" si="11"/>
        <v>市政基础设施</v>
      </c>
      <c r="R37" s="1569" t="s">
        <v>8</v>
      </c>
      <c r="S37" s="1570">
        <f t="shared" si="12"/>
        <v>100</v>
      </c>
      <c r="T37" s="1569" t="s">
        <v>8</v>
      </c>
      <c r="U37" s="1570">
        <f t="shared" si="13"/>
        <v>100</v>
      </c>
      <c r="V37" s="1569" t="s">
        <v>8</v>
      </c>
      <c r="W37" s="1570">
        <f t="shared" si="14"/>
        <v>100</v>
      </c>
      <c r="X37" s="1571"/>
      <c r="Y37" s="3678"/>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78" t="s">
        <v>767</v>
      </c>
      <c r="Q38" s="1573" t="str">
        <f t="shared" si="11"/>
        <v>业态</v>
      </c>
      <c r="R38" s="1574" t="s">
        <v>8</v>
      </c>
      <c r="S38" s="1575">
        <f t="shared" si="12"/>
        <v>100</v>
      </c>
      <c r="T38" s="1574" t="s">
        <v>8</v>
      </c>
      <c r="U38" s="1575">
        <f t="shared" si="13"/>
        <v>100</v>
      </c>
      <c r="V38" s="1574" t="s">
        <v>8</v>
      </c>
      <c r="W38" s="1575">
        <f t="shared" si="14"/>
        <v>100</v>
      </c>
      <c r="X38" s="1568"/>
      <c r="Y38" s="3678"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78"/>
      <c r="Q39" s="1573" t="str">
        <f t="shared" si="11"/>
        <v>层高</v>
      </c>
      <c r="R39" s="1574" t="s">
        <v>8</v>
      </c>
      <c r="S39" s="1575">
        <f t="shared" si="12"/>
        <v>100</v>
      </c>
      <c r="T39" s="1574" t="s">
        <v>8</v>
      </c>
      <c r="U39" s="1575">
        <f t="shared" si="13"/>
        <v>100</v>
      </c>
      <c r="V39" s="1574" t="s">
        <v>8</v>
      </c>
      <c r="W39" s="1575">
        <f t="shared" si="14"/>
        <v>100</v>
      </c>
      <c r="X39" s="1568"/>
      <c r="Y39" s="3678"/>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78"/>
      <c r="Q40" s="1573" t="str">
        <f t="shared" si="11"/>
        <v>单套建筑面积</v>
      </c>
      <c r="R40" s="1574" t="s">
        <v>8</v>
      </c>
      <c r="S40" s="1575">
        <f t="shared" si="12"/>
        <v>100</v>
      </c>
      <c r="T40" s="1574" t="s">
        <v>8</v>
      </c>
      <c r="U40" s="1575">
        <f t="shared" si="13"/>
        <v>100</v>
      </c>
      <c r="V40" s="1574" t="s">
        <v>8</v>
      </c>
      <c r="W40" s="1575">
        <f t="shared" si="14"/>
        <v>100</v>
      </c>
      <c r="X40" s="1568"/>
      <c r="Y40" s="3678"/>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78"/>
      <c r="Q41" s="1606" t="str">
        <f t="shared" si="11"/>
        <v>进深比</v>
      </c>
      <c r="R41" s="1578" t="s">
        <v>8</v>
      </c>
      <c r="S41" s="1579">
        <f t="shared" si="12"/>
        <v>100</v>
      </c>
      <c r="T41" s="1578" t="s">
        <v>8</v>
      </c>
      <c r="U41" s="1579">
        <f t="shared" si="13"/>
        <v>100</v>
      </c>
      <c r="V41" s="1578" t="s">
        <v>8</v>
      </c>
      <c r="W41" s="1579">
        <f t="shared" si="14"/>
        <v>100</v>
      </c>
      <c r="X41" s="1580"/>
      <c r="Y41" s="3678"/>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78"/>
      <c r="Q42" s="1573" t="str">
        <f t="shared" si="11"/>
        <v>内部装修</v>
      </c>
      <c r="R42" s="1574" t="s">
        <v>8</v>
      </c>
      <c r="S42" s="1575">
        <f t="shared" si="12"/>
        <v>100</v>
      </c>
      <c r="T42" s="1574" t="s">
        <v>8</v>
      </c>
      <c r="U42" s="1575">
        <f t="shared" si="13"/>
        <v>100</v>
      </c>
      <c r="V42" s="1574" t="s">
        <v>8</v>
      </c>
      <c r="W42" s="1575">
        <f t="shared" si="14"/>
        <v>100</v>
      </c>
      <c r="X42" s="1568"/>
      <c r="Y42" s="3678"/>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78"/>
      <c r="Q43" s="1573" t="str">
        <f t="shared" si="11"/>
        <v>内部装修维护情况</v>
      </c>
      <c r="R43" s="1574" t="s">
        <v>8</v>
      </c>
      <c r="S43" s="1575">
        <f t="shared" si="12"/>
        <v>100</v>
      </c>
      <c r="T43" s="1574" t="s">
        <v>8</v>
      </c>
      <c r="U43" s="1575">
        <f t="shared" si="13"/>
        <v>100</v>
      </c>
      <c r="V43" s="1574" t="s">
        <v>8</v>
      </c>
      <c r="W43" s="1575">
        <f t="shared" si="14"/>
        <v>100</v>
      </c>
      <c r="X43" s="1568"/>
      <c r="Y43" s="36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78"/>
      <c r="Q44" s="1151">
        <f t="shared" si="11"/>
        <v>111</v>
      </c>
      <c r="R44" s="1569" t="s">
        <v>8</v>
      </c>
      <c r="S44" s="1570">
        <f t="shared" si="12"/>
        <v>100</v>
      </c>
      <c r="T44" s="1569" t="s">
        <v>8</v>
      </c>
      <c r="U44" s="1570">
        <f t="shared" si="13"/>
        <v>100</v>
      </c>
      <c r="V44" s="1569" t="s">
        <v>8</v>
      </c>
      <c r="W44" s="1570">
        <f t="shared" si="14"/>
        <v>100</v>
      </c>
      <c r="X44" s="1571"/>
      <c r="Y44" s="36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78"/>
      <c r="Q45" s="1573">
        <f t="shared" si="11"/>
        <v>111</v>
      </c>
      <c r="R45" s="1574" t="s">
        <v>8</v>
      </c>
      <c r="S45" s="1575">
        <f t="shared" si="12"/>
        <v>100</v>
      </c>
      <c r="T45" s="1574" t="s">
        <v>8</v>
      </c>
      <c r="U45" s="1575">
        <f t="shared" si="13"/>
        <v>100</v>
      </c>
      <c r="V45" s="1574" t="s">
        <v>8</v>
      </c>
      <c r="W45" s="1575">
        <f t="shared" si="14"/>
        <v>100</v>
      </c>
      <c r="X45" s="1568"/>
      <c r="Y45" s="367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4"/>
      <c r="Q46" s="1573">
        <f t="shared" si="11"/>
        <v>111</v>
      </c>
      <c r="R46" s="1574" t="s">
        <v>8</v>
      </c>
      <c r="S46" s="1575">
        <f t="shared" si="12"/>
        <v>100</v>
      </c>
      <c r="T46" s="1574" t="s">
        <v>8</v>
      </c>
      <c r="U46" s="1575">
        <f t="shared" si="13"/>
        <v>100</v>
      </c>
      <c r="V46" s="1574" t="s">
        <v>8</v>
      </c>
      <c r="W46" s="1575">
        <f t="shared" si="14"/>
        <v>100</v>
      </c>
      <c r="X46" s="1568"/>
      <c r="Y46" s="3774"/>
      <c r="Z46" s="1576">
        <f t="shared" si="15"/>
        <v>111</v>
      </c>
      <c r="AA46" s="1577">
        <f t="shared" si="3"/>
        <v>1</v>
      </c>
      <c r="AB46" s="1577">
        <f t="shared" si="4"/>
        <v>1</v>
      </c>
      <c r="AC46" s="1577">
        <f t="shared" si="5"/>
        <v>1</v>
      </c>
    </row>
    <row r="47" spans="1:29" ht="15">
      <c r="A47" s="607" t="s">
        <v>737</v>
      </c>
      <c r="B47" s="887"/>
      <c r="C47" s="2650" t="s">
        <v>1</v>
      </c>
      <c r="D47" s="2651"/>
      <c r="E47" s="2652"/>
      <c r="F47" s="2653"/>
      <c r="G47" s="2654"/>
      <c r="H47" s="2655"/>
      <c r="I47" s="2652"/>
      <c r="J47" s="2655"/>
      <c r="K47" s="1612"/>
      <c r="L47" s="2145"/>
      <c r="M47" s="2146"/>
      <c r="N47" s="2135"/>
      <c r="O47" s="2146"/>
      <c r="P47" s="3673" t="str">
        <f>A47</f>
        <v>成交单价（元/平方米）</v>
      </c>
      <c r="Q47" s="3673"/>
      <c r="R47" s="3773">
        <f>E47</f>
        <v>0</v>
      </c>
      <c r="S47" s="3773"/>
      <c r="T47" s="3773">
        <f>G47</f>
        <v>0</v>
      </c>
      <c r="U47" s="3773"/>
      <c r="V47" s="3773">
        <f>I47</f>
        <v>0</v>
      </c>
      <c r="W47" s="3773"/>
      <c r="X47" s="1560"/>
      <c r="Y47" s="1582"/>
      <c r="Z47" s="1560"/>
      <c r="AA47" s="1560"/>
      <c r="AB47" s="1560"/>
      <c r="AC47" s="1560"/>
    </row>
    <row r="48" spans="1:29" ht="15.75" thickBot="1">
      <c r="A48" s="615" t="s">
        <v>2767</v>
      </c>
      <c r="B48" s="888"/>
      <c r="C48" s="2656" t="e">
        <f>R49</f>
        <v>#DIV/0!</v>
      </c>
      <c r="D48" s="2657"/>
      <c r="E48" s="2658" t="e">
        <f>R48</f>
        <v>#DIV/0!</v>
      </c>
      <c r="F48" s="2658"/>
      <c r="G48" s="2656" t="e">
        <f>T48</f>
        <v>#DIV/0!</v>
      </c>
      <c r="H48" s="2657"/>
      <c r="I48" s="2658" t="e">
        <f>V48</f>
        <v>#DIV/0!</v>
      </c>
      <c r="J48" s="2657"/>
      <c r="K48" s="1613"/>
      <c r="L48" s="2145"/>
      <c r="M48" s="2146"/>
      <c r="N48" s="2135"/>
      <c r="O48" s="2146"/>
      <c r="P48" s="3673" t="str">
        <f>A48</f>
        <v>比较价格（元/平方米）</v>
      </c>
      <c r="Q48" s="3673"/>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1560"/>
      <c r="Y48" s="1560"/>
      <c r="Z48" s="1560"/>
      <c r="AA48" s="1560"/>
      <c r="AB48" s="1560"/>
      <c r="AC48" s="1560"/>
    </row>
    <row r="49" spans="1:29" ht="15.75" thickBot="1">
      <c r="A49" s="621" t="s">
        <v>2942</v>
      </c>
      <c r="B49" s="622"/>
      <c r="C49" s="2659" t="e">
        <f>R49</f>
        <v>#DIV/0!</v>
      </c>
      <c r="D49" s="2659"/>
      <c r="E49" s="2659"/>
      <c r="F49" s="2659"/>
      <c r="G49" s="2659"/>
      <c r="H49" s="2659"/>
      <c r="I49" s="2659"/>
      <c r="J49" s="2659"/>
      <c r="K49" s="1614"/>
      <c r="L49" s="2145"/>
      <c r="M49" s="2146"/>
      <c r="N49" s="2135"/>
      <c r="O49" s="2146"/>
      <c r="P49" s="3694" t="str">
        <f>A49</f>
        <v>估价对象XX用房的比较价格（楼面单价，元/平方米）</v>
      </c>
      <c r="Q49" s="3695"/>
      <c r="R49" s="3772" t="e">
        <f>IF(F1="售价",ROUND(AVERAGE(R48:V48),0),ROUND(AVERAGE(R48:V48),1))</f>
        <v>#DIV/0!</v>
      </c>
      <c r="S49" s="3772"/>
      <c r="T49" s="3772"/>
      <c r="U49" s="3772"/>
      <c r="V49" s="3772"/>
      <c r="W49" s="377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0" t="s">
        <v>2565</v>
      </c>
      <c r="C82" s="2621" t="s">
        <v>2566</v>
      </c>
      <c r="D82" s="2621" t="s">
        <v>2567</v>
      </c>
      <c r="E82" s="2621" t="s">
        <v>2568</v>
      </c>
      <c r="F82" s="2621" t="s">
        <v>2569</v>
      </c>
      <c r="G82" s="2621" t="s">
        <v>2570</v>
      </c>
      <c r="H82" s="674"/>
      <c r="I82" s="674"/>
      <c r="J82" s="674"/>
      <c r="K82" s="674"/>
      <c r="L82" s="674"/>
      <c r="M82" s="2624"/>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1"/>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79" t="s">
        <v>523</v>
      </c>
      <c r="D4" s="3680"/>
      <c r="E4" s="3703" t="s">
        <v>524</v>
      </c>
      <c r="F4" s="3704"/>
      <c r="G4" s="3679" t="s">
        <v>525</v>
      </c>
      <c r="H4" s="3680"/>
      <c r="I4" s="3679" t="s">
        <v>526</v>
      </c>
      <c r="J4" s="3680"/>
      <c r="K4" s="514" t="s">
        <v>527</v>
      </c>
      <c r="L4" s="2134"/>
      <c r="M4" s="2135"/>
      <c r="N4" s="2135"/>
      <c r="O4" s="2135"/>
      <c r="P4" s="3775" t="s">
        <v>528</v>
      </c>
      <c r="Q4" s="3682"/>
      <c r="R4" s="3667" t="s">
        <v>524</v>
      </c>
      <c r="S4" s="3668"/>
      <c r="T4" s="3667" t="s">
        <v>525</v>
      </c>
      <c r="U4" s="3668"/>
      <c r="V4" s="3687" t="s">
        <v>526</v>
      </c>
      <c r="W4" s="3687"/>
      <c r="X4" s="1568"/>
      <c r="Y4" s="3667" t="s">
        <v>528</v>
      </c>
      <c r="Z4" s="3668"/>
      <c r="AA4" s="3662" t="s">
        <v>524</v>
      </c>
      <c r="AB4" s="3662" t="s">
        <v>525</v>
      </c>
      <c r="AC4" s="3662" t="s">
        <v>526</v>
      </c>
    </row>
    <row r="5" spans="1:29" ht="15">
      <c r="A5" s="515"/>
      <c r="B5" s="516"/>
      <c r="C5" s="3690" t="s">
        <v>2936</v>
      </c>
      <c r="D5" s="3691"/>
      <c r="E5" s="3705" t="s">
        <v>2937</v>
      </c>
      <c r="F5" s="3706"/>
      <c r="G5" s="3690" t="s">
        <v>2938</v>
      </c>
      <c r="H5" s="3691"/>
      <c r="I5" s="3690" t="s">
        <v>2939</v>
      </c>
      <c r="J5" s="3691"/>
      <c r="K5" s="514"/>
      <c r="L5" s="2134"/>
      <c r="M5" s="2135"/>
      <c r="N5" s="2135"/>
      <c r="O5" s="2135"/>
      <c r="P5" s="3776"/>
      <c r="Q5" s="3684"/>
      <c r="R5" s="3669"/>
      <c r="S5" s="3670"/>
      <c r="T5" s="3669"/>
      <c r="U5" s="3670"/>
      <c r="V5" s="3687"/>
      <c r="W5" s="3687"/>
      <c r="X5" s="1568"/>
      <c r="Y5" s="3669"/>
      <c r="Z5" s="3670"/>
      <c r="AA5" s="3663"/>
      <c r="AB5" s="3663"/>
      <c r="AC5" s="3663"/>
    </row>
    <row r="6" spans="1:29" ht="15.75" thickBot="1">
      <c r="A6" s="517"/>
      <c r="B6" s="518"/>
      <c r="C6" s="3688" t="s">
        <v>2940</v>
      </c>
      <c r="D6" s="3689"/>
      <c r="E6" s="3707" t="s">
        <v>2940</v>
      </c>
      <c r="F6" s="3708"/>
      <c r="G6" s="3688" t="s">
        <v>2940</v>
      </c>
      <c r="H6" s="3689"/>
      <c r="I6" s="3688" t="s">
        <v>2940</v>
      </c>
      <c r="J6" s="3689"/>
      <c r="K6" s="514" t="s">
        <v>529</v>
      </c>
      <c r="L6" s="2134"/>
      <c r="M6" s="2135"/>
      <c r="N6" s="2135"/>
      <c r="O6" s="2135"/>
      <c r="P6" s="3777"/>
      <c r="Q6" s="3686"/>
      <c r="R6" s="3669"/>
      <c r="S6" s="3670"/>
      <c r="T6" s="3671"/>
      <c r="U6" s="3672"/>
      <c r="V6" s="3687"/>
      <c r="W6" s="3687"/>
      <c r="X6" s="1568"/>
      <c r="Y6" s="3671"/>
      <c r="Z6" s="3672"/>
      <c r="AA6" s="3664"/>
      <c r="AB6" s="3664"/>
      <c r="AC6" s="3664"/>
    </row>
    <row r="7" spans="1:29" s="1220" customFormat="1" ht="15.75" thickBot="1">
      <c r="A7" s="2936"/>
      <c r="B7" s="2943" t="s">
        <v>530</v>
      </c>
      <c r="C7" s="519">
        <f>'数据-取费表'!B2</f>
        <v>43136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74" t="s">
        <v>531</v>
      </c>
      <c r="Q7" s="3674"/>
      <c r="R7" s="1569" t="s">
        <v>8</v>
      </c>
      <c r="S7" s="1570">
        <f t="shared" ref="S7:S15" si="0">F7</f>
        <v>0</v>
      </c>
      <c r="T7" s="1569" t="s">
        <v>8</v>
      </c>
      <c r="U7" s="1570">
        <f t="shared" ref="U7:U15" si="1">H7</f>
        <v>0</v>
      </c>
      <c r="V7" s="1569" t="s">
        <v>8</v>
      </c>
      <c r="W7" s="1570">
        <f t="shared" ref="W7:W15"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74" t="s">
        <v>534</v>
      </c>
      <c r="Q8" s="3666"/>
      <c r="R8" s="1569" t="s">
        <v>8</v>
      </c>
      <c r="S8" s="1570">
        <f t="shared" si="0"/>
        <v>0</v>
      </c>
      <c r="T8" s="1569" t="s">
        <v>8</v>
      </c>
      <c r="U8" s="1570">
        <f t="shared" si="1"/>
        <v>0</v>
      </c>
      <c r="V8" s="1569" t="s">
        <v>8</v>
      </c>
      <c r="W8" s="1570">
        <f t="shared" si="2"/>
        <v>0</v>
      </c>
      <c r="X8" s="1571"/>
      <c r="Y8" s="3665" t="s">
        <v>534</v>
      </c>
      <c r="Z8" s="3666"/>
      <c r="AA8" s="1572" t="e">
        <f t="shared" ref="AA8:AA47" si="3">D8/F8</f>
        <v>#DIV/0!</v>
      </c>
      <c r="AB8" s="1572" t="e">
        <f t="shared" ref="AB8:AB47" si="4">D8/H8</f>
        <v>#DIV/0!</v>
      </c>
      <c r="AC8" s="1572" t="e">
        <f t="shared" ref="AC8:AC47" si="5">D8/J8</f>
        <v>#DIV/0!</v>
      </c>
    </row>
    <row r="9" spans="1:29" s="1220" customFormat="1" ht="15">
      <c r="A9" s="2938"/>
      <c r="B9" s="2945"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73" t="s">
        <v>536</v>
      </c>
      <c r="Q9" s="1151" t="str">
        <f t="shared" ref="Q9:Q15" si="6">B9</f>
        <v>用途</v>
      </c>
      <c r="R9" s="1569" t="s">
        <v>8</v>
      </c>
      <c r="S9" s="1570">
        <f t="shared" si="0"/>
        <v>100</v>
      </c>
      <c r="T9" s="1569" t="s">
        <v>8</v>
      </c>
      <c r="U9" s="1570">
        <f t="shared" si="1"/>
        <v>100</v>
      </c>
      <c r="V9" s="1569" t="s">
        <v>8</v>
      </c>
      <c r="W9" s="1570">
        <f t="shared" si="2"/>
        <v>100</v>
      </c>
      <c r="X9" s="1571"/>
      <c r="Y9" s="3630"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73"/>
      <c r="Q11" s="1151" t="str">
        <f t="shared" si="6"/>
        <v>容积率</v>
      </c>
      <c r="R11" s="1569" t="s">
        <v>8</v>
      </c>
      <c r="S11" s="1570" t="e">
        <f t="shared" si="0"/>
        <v>#N/A</v>
      </c>
      <c r="T11" s="1569" t="s">
        <v>8</v>
      </c>
      <c r="U11" s="1570" t="e">
        <f t="shared" si="1"/>
        <v>#N/A</v>
      </c>
      <c r="V11" s="1569" t="s">
        <v>8</v>
      </c>
      <c r="W11" s="1570" t="e">
        <f t="shared" si="2"/>
        <v>#N/A</v>
      </c>
      <c r="X11" s="1571"/>
      <c r="Y11" s="3630"/>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73"/>
      <c r="Q12" s="1151">
        <f t="shared" si="6"/>
        <v>111</v>
      </c>
      <c r="R12" s="1569" t="s">
        <v>8</v>
      </c>
      <c r="S12" s="1570">
        <f t="shared" si="0"/>
        <v>100</v>
      </c>
      <c r="T12" s="1569" t="s">
        <v>8</v>
      </c>
      <c r="U12" s="1570">
        <f t="shared" si="1"/>
        <v>100</v>
      </c>
      <c r="V12" s="1569" t="s">
        <v>8</v>
      </c>
      <c r="W12" s="1570">
        <f t="shared" si="2"/>
        <v>100</v>
      </c>
      <c r="X12" s="1571"/>
      <c r="Y12" s="3630"/>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73"/>
      <c r="Q13" s="1151">
        <f t="shared" si="6"/>
        <v>111</v>
      </c>
      <c r="R13" s="1569" t="s">
        <v>8</v>
      </c>
      <c r="S13" s="1570">
        <f t="shared" si="0"/>
        <v>100</v>
      </c>
      <c r="T13" s="1569" t="s">
        <v>8</v>
      </c>
      <c r="U13" s="1570">
        <f t="shared" si="1"/>
        <v>100</v>
      </c>
      <c r="V13" s="1569" t="s">
        <v>8</v>
      </c>
      <c r="W13" s="1570">
        <f t="shared" si="2"/>
        <v>100</v>
      </c>
      <c r="X13" s="1571"/>
      <c r="Y13" s="3630"/>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73"/>
      <c r="Q14" s="1151">
        <f t="shared" si="6"/>
        <v>111</v>
      </c>
      <c r="R14" s="1569" t="s">
        <v>8</v>
      </c>
      <c r="S14" s="1570">
        <f t="shared" si="0"/>
        <v>100</v>
      </c>
      <c r="T14" s="1569" t="s">
        <v>8</v>
      </c>
      <c r="U14" s="1570">
        <f t="shared" si="1"/>
        <v>100</v>
      </c>
      <c r="V14" s="1569" t="s">
        <v>8</v>
      </c>
      <c r="W14" s="1570">
        <f t="shared" si="2"/>
        <v>100</v>
      </c>
      <c r="X14" s="1571"/>
      <c r="Y14" s="3630"/>
      <c r="Z14" s="1150">
        <f t="shared" si="7"/>
        <v>111</v>
      </c>
      <c r="AA14" s="1572">
        <f t="shared" si="3"/>
        <v>1</v>
      </c>
      <c r="AB14" s="1572">
        <f t="shared" si="4"/>
        <v>1</v>
      </c>
      <c r="AC14" s="1572">
        <f t="shared" si="5"/>
        <v>1</v>
      </c>
    </row>
    <row r="15" spans="1:29" ht="71.25">
      <c r="A15" s="2934"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75" t="s">
        <v>541</v>
      </c>
      <c r="Q15" s="1573" t="str">
        <f t="shared" si="6"/>
        <v>办公集聚程度</v>
      </c>
      <c r="R15" s="1574" t="s">
        <v>8</v>
      </c>
      <c r="S15" s="1575">
        <f t="shared" si="0"/>
        <v>100</v>
      </c>
      <c r="T15" s="1574" t="s">
        <v>8</v>
      </c>
      <c r="U15" s="1575">
        <f t="shared" si="1"/>
        <v>100</v>
      </c>
      <c r="V15" s="1574" t="s">
        <v>8</v>
      </c>
      <c r="W15" s="1575">
        <f t="shared" si="2"/>
        <v>100</v>
      </c>
      <c r="X15" s="1568"/>
      <c r="Y15" s="3675"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676"/>
      <c r="Q16" s="1573"/>
      <c r="R16" s="1574"/>
      <c r="S16" s="1575"/>
      <c r="T16" s="1574"/>
      <c r="U16" s="1575"/>
      <c r="V16" s="1574"/>
      <c r="W16" s="1575"/>
      <c r="X16" s="1568"/>
      <c r="Y16" s="367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76"/>
      <c r="Q17" s="1573" t="str">
        <f>B17</f>
        <v>交通便捷度</v>
      </c>
      <c r="R17" s="1574" t="s">
        <v>8</v>
      </c>
      <c r="S17" s="1575">
        <f>F17</f>
        <v>100</v>
      </c>
      <c r="T17" s="1574" t="s">
        <v>8</v>
      </c>
      <c r="U17" s="1575">
        <f>H17</f>
        <v>100</v>
      </c>
      <c r="V17" s="1574" t="s">
        <v>8</v>
      </c>
      <c r="W17" s="1575">
        <f>J17</f>
        <v>100</v>
      </c>
      <c r="X17" s="1568"/>
      <c r="Y17" s="367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676"/>
      <c r="Q18" s="1573"/>
      <c r="R18" s="1574"/>
      <c r="S18" s="1575"/>
      <c r="T18" s="1574"/>
      <c r="U18" s="1575"/>
      <c r="V18" s="1574"/>
      <c r="W18" s="1575"/>
      <c r="X18" s="1568"/>
      <c r="Y18" s="3676"/>
      <c r="Z18" s="1576"/>
      <c r="AA18" s="1577">
        <v>1</v>
      </c>
      <c r="AB18" s="1577">
        <v>1</v>
      </c>
      <c r="AC18" s="1577">
        <v>1</v>
      </c>
    </row>
    <row r="19" spans="1:29" ht="85.5">
      <c r="A19" s="532"/>
      <c r="B19" s="2626" t="s">
        <v>2553</v>
      </c>
      <c r="C19" s="573" t="str">
        <f>估价对象房地状况!C7</f>
        <v>无医院、1公里内八千乡刘店完全小学；1.9公里邮政三农服务站(湾左村卫生所西南)</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76"/>
      <c r="Q19" s="1573" t="str">
        <f>B19</f>
        <v>公共配套设施</v>
      </c>
      <c r="R19" s="1574" t="s">
        <v>8</v>
      </c>
      <c r="S19" s="1575">
        <f>F19</f>
        <v>100</v>
      </c>
      <c r="T19" s="1574" t="s">
        <v>8</v>
      </c>
      <c r="U19" s="1575">
        <f>H19</f>
        <v>100</v>
      </c>
      <c r="V19" s="1574" t="s">
        <v>8</v>
      </c>
      <c r="W19" s="1575">
        <f>J19</f>
        <v>100</v>
      </c>
      <c r="X19" s="1568"/>
      <c r="Y19" s="367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676"/>
      <c r="Q20" s="1573"/>
      <c r="R20" s="1574"/>
      <c r="S20" s="1575"/>
      <c r="T20" s="1574"/>
      <c r="U20" s="1575"/>
      <c r="V20" s="1574"/>
      <c r="W20" s="1575"/>
      <c r="X20" s="1568"/>
      <c r="Y20" s="3676"/>
      <c r="Z20" s="1576"/>
      <c r="AA20" s="1577">
        <v>1</v>
      </c>
      <c r="AB20" s="1577">
        <v>1</v>
      </c>
      <c r="AC20" s="1577">
        <v>1</v>
      </c>
    </row>
    <row r="21" spans="1:29" ht="28.5">
      <c r="A21" s="532"/>
      <c r="B21" s="2614"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76"/>
      <c r="Q21" s="2602" t="str">
        <f>B21</f>
        <v>基础设施水平</v>
      </c>
      <c r="R21" s="1574" t="s">
        <v>8</v>
      </c>
      <c r="S21" s="1575">
        <f>F21</f>
        <v>100</v>
      </c>
      <c r="T21" s="1574" t="s">
        <v>8</v>
      </c>
      <c r="U21" s="1575">
        <f>H21</f>
        <v>100</v>
      </c>
      <c r="V21" s="1574" t="s">
        <v>8</v>
      </c>
      <c r="W21" s="1575">
        <f>J21</f>
        <v>100</v>
      </c>
      <c r="X21" s="2604"/>
      <c r="Y21" s="3676"/>
      <c r="Z21" s="2603"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5"/>
      <c r="L22" s="2143"/>
      <c r="M22" s="2135"/>
      <c r="N22" s="2135"/>
      <c r="O22" s="2135"/>
      <c r="P22" s="3676"/>
      <c r="Q22" s="2602"/>
      <c r="R22" s="1574"/>
      <c r="S22" s="1575"/>
      <c r="T22" s="1574"/>
      <c r="U22" s="1575"/>
      <c r="V22" s="1574"/>
      <c r="W22" s="1575"/>
      <c r="X22" s="2604"/>
      <c r="Y22" s="3676"/>
      <c r="Z22" s="2603"/>
      <c r="AA22" s="1577">
        <v>1</v>
      </c>
      <c r="AB22" s="1577">
        <v>1</v>
      </c>
      <c r="AC22" s="1577">
        <v>1</v>
      </c>
    </row>
    <row r="23" spans="1:29" ht="28.5">
      <c r="A23" s="532"/>
      <c r="B23" s="560" t="s">
        <v>779</v>
      </c>
      <c r="C23" s="573" t="str">
        <f>估价对象房地状况!C9</f>
        <v>1.8公里双鹤湖公园、</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76"/>
      <c r="Q23" s="1573" t="str">
        <f>B23</f>
        <v>环境质量</v>
      </c>
      <c r="R23" s="1574" t="s">
        <v>8</v>
      </c>
      <c r="S23" s="1575">
        <f>F23</f>
        <v>100</v>
      </c>
      <c r="T23" s="1574" t="s">
        <v>8</v>
      </c>
      <c r="U23" s="1575">
        <f>H23</f>
        <v>100</v>
      </c>
      <c r="V23" s="1574" t="s">
        <v>8</v>
      </c>
      <c r="W23" s="1575">
        <f>J23</f>
        <v>100</v>
      </c>
      <c r="X23" s="1568"/>
      <c r="Y23" s="367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676"/>
      <c r="Q24" s="1573"/>
      <c r="R24" s="1574"/>
      <c r="S24" s="1575"/>
      <c r="T24" s="1574"/>
      <c r="U24" s="1575"/>
      <c r="V24" s="1574"/>
      <c r="W24" s="1575"/>
      <c r="X24" s="1568"/>
      <c r="Y24" s="3676"/>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76"/>
      <c r="Q25" s="1573" t="str">
        <f>B25</f>
        <v>毗邻道路的类型与等级</v>
      </c>
      <c r="R25" s="1574" t="s">
        <v>8</v>
      </c>
      <c r="S25" s="1575">
        <f>F25</f>
        <v>100</v>
      </c>
      <c r="T25" s="1574" t="s">
        <v>8</v>
      </c>
      <c r="U25" s="1575">
        <f>H25</f>
        <v>100</v>
      </c>
      <c r="V25" s="1574" t="s">
        <v>8</v>
      </c>
      <c r="W25" s="1575">
        <f>J25</f>
        <v>100</v>
      </c>
      <c r="X25" s="1568"/>
      <c r="Y25" s="367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676"/>
      <c r="Q26" s="1573"/>
      <c r="R26" s="1574"/>
      <c r="S26" s="1575"/>
      <c r="T26" s="1574"/>
      <c r="U26" s="1575"/>
      <c r="V26" s="1574"/>
      <c r="W26" s="1575"/>
      <c r="X26" s="1568"/>
      <c r="Y26" s="3676"/>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76"/>
      <c r="Q27" s="1573" t="str">
        <f t="shared" ref="Q27:Q47" si="11">B27</f>
        <v>楼层</v>
      </c>
      <c r="R27" s="1574" t="s">
        <v>8</v>
      </c>
      <c r="S27" s="1575">
        <f>F27</f>
        <v>100</v>
      </c>
      <c r="T27" s="1574" t="s">
        <v>8</v>
      </c>
      <c r="U27" s="1575">
        <f>H27</f>
        <v>100</v>
      </c>
      <c r="V27" s="1574" t="s">
        <v>8</v>
      </c>
      <c r="W27" s="1575">
        <f>J27</f>
        <v>100</v>
      </c>
      <c r="X27" s="1568"/>
      <c r="Y27" s="3676"/>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76"/>
      <c r="Q28" s="1151" t="str">
        <f t="shared" si="11"/>
        <v>朝向</v>
      </c>
      <c r="R28" s="1569" t="s">
        <v>8</v>
      </c>
      <c r="S28" s="1570">
        <f>F28</f>
        <v>100</v>
      </c>
      <c r="T28" s="1569" t="s">
        <v>8</v>
      </c>
      <c r="U28" s="1570">
        <f>H28</f>
        <v>100</v>
      </c>
      <c r="V28" s="1569" t="s">
        <v>8</v>
      </c>
      <c r="W28" s="1570">
        <f>J28</f>
        <v>100</v>
      </c>
      <c r="X28" s="1571"/>
      <c r="Y28" s="367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76"/>
      <c r="Q29" s="1573">
        <f t="shared" si="11"/>
        <v>111</v>
      </c>
      <c r="R29" s="1574" t="s">
        <v>8</v>
      </c>
      <c r="S29" s="1575">
        <f t="shared" ref="S29:S47" si="12">F29</f>
        <v>100</v>
      </c>
      <c r="T29" s="1574" t="s">
        <v>8</v>
      </c>
      <c r="U29" s="1575">
        <f t="shared" ref="U29:U47" si="13">H29</f>
        <v>100</v>
      </c>
      <c r="V29" s="1574" t="s">
        <v>8</v>
      </c>
      <c r="W29" s="1575">
        <f t="shared" ref="W29:W47" si="14">J29</f>
        <v>100</v>
      </c>
      <c r="X29" s="1568"/>
      <c r="Y29" s="367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76"/>
      <c r="Q30" s="1573">
        <f t="shared" si="11"/>
        <v>111</v>
      </c>
      <c r="R30" s="1574" t="s">
        <v>8</v>
      </c>
      <c r="S30" s="1575">
        <f t="shared" si="12"/>
        <v>100</v>
      </c>
      <c r="T30" s="1574" t="s">
        <v>8</v>
      </c>
      <c r="U30" s="1575">
        <f t="shared" si="13"/>
        <v>100</v>
      </c>
      <c r="V30" s="1574" t="s">
        <v>8</v>
      </c>
      <c r="W30" s="1575">
        <f t="shared" si="14"/>
        <v>100</v>
      </c>
      <c r="X30" s="1568"/>
      <c r="Y30" s="367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76"/>
      <c r="Q31" s="1573">
        <f t="shared" si="11"/>
        <v>111</v>
      </c>
      <c r="R31" s="1574" t="s">
        <v>8</v>
      </c>
      <c r="S31" s="1575">
        <f t="shared" si="12"/>
        <v>100</v>
      </c>
      <c r="T31" s="1574" t="s">
        <v>8</v>
      </c>
      <c r="U31" s="1575">
        <f t="shared" si="13"/>
        <v>100</v>
      </c>
      <c r="V31" s="1574" t="s">
        <v>8</v>
      </c>
      <c r="W31" s="1575">
        <f t="shared" si="14"/>
        <v>100</v>
      </c>
      <c r="X31" s="1568"/>
      <c r="Y31" s="367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76"/>
      <c r="Q32" s="1573">
        <f t="shared" si="11"/>
        <v>111</v>
      </c>
      <c r="R32" s="1574" t="s">
        <v>8</v>
      </c>
      <c r="S32" s="1575">
        <f t="shared" si="12"/>
        <v>100</v>
      </c>
      <c r="T32" s="1574" t="s">
        <v>8</v>
      </c>
      <c r="U32" s="1575">
        <f t="shared" si="13"/>
        <v>100</v>
      </c>
      <c r="V32" s="1574" t="s">
        <v>8</v>
      </c>
      <c r="W32" s="1575">
        <f t="shared" si="14"/>
        <v>100</v>
      </c>
      <c r="X32" s="1568"/>
      <c r="Y32" s="3676"/>
      <c r="Z32" s="1576">
        <f t="shared" si="15"/>
        <v>111</v>
      </c>
      <c r="AA32" s="1577">
        <f t="shared" si="3"/>
        <v>1</v>
      </c>
      <c r="AB32" s="1577">
        <f t="shared" si="4"/>
        <v>1</v>
      </c>
      <c r="AC32" s="1577">
        <f t="shared" si="5"/>
        <v>1</v>
      </c>
    </row>
    <row r="33" spans="1:29" ht="15">
      <c r="A33" s="2931"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77" t="s">
        <v>551</v>
      </c>
      <c r="Q33" s="1573" t="str">
        <f t="shared" si="11"/>
        <v>建筑类型</v>
      </c>
      <c r="R33" s="1574" t="s">
        <v>8</v>
      </c>
      <c r="S33" s="1575">
        <f t="shared" si="12"/>
        <v>100</v>
      </c>
      <c r="T33" s="1574" t="s">
        <v>8</v>
      </c>
      <c r="U33" s="1575">
        <f t="shared" si="13"/>
        <v>100</v>
      </c>
      <c r="V33" s="1574" t="s">
        <v>8</v>
      </c>
      <c r="W33" s="1575">
        <f t="shared" si="14"/>
        <v>100</v>
      </c>
      <c r="X33" s="1568"/>
      <c r="Y33" s="3678"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78"/>
      <c r="Q34" s="1606" t="str">
        <f t="shared" si="11"/>
        <v>项目建筑规模</v>
      </c>
      <c r="R34" s="1578" t="s">
        <v>8</v>
      </c>
      <c r="S34" s="1579" t="e">
        <f t="shared" si="12"/>
        <v>#N/A</v>
      </c>
      <c r="T34" s="1578" t="s">
        <v>8</v>
      </c>
      <c r="U34" s="1579" t="e">
        <f t="shared" si="13"/>
        <v>#N/A</v>
      </c>
      <c r="V34" s="1578" t="s">
        <v>8</v>
      </c>
      <c r="W34" s="1579" t="e">
        <f t="shared" si="14"/>
        <v>#N/A</v>
      </c>
      <c r="X34" s="1580"/>
      <c r="Y34" s="3678"/>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78"/>
      <c r="Q35" s="1573" t="str">
        <f t="shared" si="11"/>
        <v>建筑结构</v>
      </c>
      <c r="R35" s="1574" t="s">
        <v>8</v>
      </c>
      <c r="S35" s="1575">
        <f t="shared" si="12"/>
        <v>100</v>
      </c>
      <c r="T35" s="1574" t="s">
        <v>8</v>
      </c>
      <c r="U35" s="1575">
        <f t="shared" si="13"/>
        <v>100</v>
      </c>
      <c r="V35" s="1574" t="s">
        <v>8</v>
      </c>
      <c r="W35" s="1575">
        <f t="shared" si="14"/>
        <v>100</v>
      </c>
      <c r="X35" s="1568"/>
      <c r="Y35" s="3678"/>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78"/>
      <c r="Q36" s="1573" t="str">
        <f t="shared" si="11"/>
        <v>公共部分装修</v>
      </c>
      <c r="R36" s="1574" t="s">
        <v>8</v>
      </c>
      <c r="S36" s="1575">
        <f t="shared" si="12"/>
        <v>100</v>
      </c>
      <c r="T36" s="1574" t="s">
        <v>8</v>
      </c>
      <c r="U36" s="1575">
        <f t="shared" si="13"/>
        <v>100</v>
      </c>
      <c r="V36" s="1574" t="s">
        <v>8</v>
      </c>
      <c r="W36" s="1575">
        <f t="shared" si="14"/>
        <v>100</v>
      </c>
      <c r="X36" s="1568"/>
      <c r="Y36" s="3678"/>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78"/>
      <c r="Q37" s="1573" t="str">
        <f t="shared" si="11"/>
        <v>成新度</v>
      </c>
      <c r="R37" s="1574" t="s">
        <v>8</v>
      </c>
      <c r="S37" s="1575" t="e">
        <f t="shared" si="12"/>
        <v>#N/A</v>
      </c>
      <c r="T37" s="1574" t="s">
        <v>8</v>
      </c>
      <c r="U37" s="1575" t="e">
        <f t="shared" si="13"/>
        <v>#N/A</v>
      </c>
      <c r="V37" s="1574" t="s">
        <v>8</v>
      </c>
      <c r="W37" s="1575" t="e">
        <f t="shared" si="14"/>
        <v>#N/A</v>
      </c>
      <c r="X37" s="1568"/>
      <c r="Y37" s="3678"/>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78"/>
      <c r="Q38" s="1151" t="str">
        <f t="shared" si="11"/>
        <v>写字楼等级</v>
      </c>
      <c r="R38" s="1569" t="s">
        <v>8</v>
      </c>
      <c r="S38" s="1570">
        <f t="shared" si="12"/>
        <v>100</v>
      </c>
      <c r="T38" s="1569" t="s">
        <v>8</v>
      </c>
      <c r="U38" s="1570">
        <f t="shared" si="13"/>
        <v>100</v>
      </c>
      <c r="V38" s="1569" t="s">
        <v>8</v>
      </c>
      <c r="W38" s="1570">
        <f t="shared" si="14"/>
        <v>100</v>
      </c>
      <c r="X38" s="1571"/>
      <c r="Y38" s="3678"/>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78" t="s">
        <v>551</v>
      </c>
      <c r="Q39" s="1573" t="str">
        <f t="shared" si="11"/>
        <v>物业管理</v>
      </c>
      <c r="R39" s="1574" t="s">
        <v>8</v>
      </c>
      <c r="S39" s="1575">
        <f t="shared" si="12"/>
        <v>100</v>
      </c>
      <c r="T39" s="1574" t="s">
        <v>8</v>
      </c>
      <c r="U39" s="1575">
        <f t="shared" si="13"/>
        <v>100</v>
      </c>
      <c r="V39" s="1574" t="s">
        <v>8</v>
      </c>
      <c r="W39" s="1575">
        <f t="shared" si="14"/>
        <v>100</v>
      </c>
      <c r="X39" s="1568"/>
      <c r="Y39" s="3678" t="s">
        <v>551</v>
      </c>
      <c r="Z39" s="1576" t="str">
        <f t="shared" si="15"/>
        <v>物业管理</v>
      </c>
      <c r="AA39" s="1577">
        <f t="shared" si="3"/>
        <v>1</v>
      </c>
      <c r="AB39" s="1577">
        <f t="shared" si="4"/>
        <v>1</v>
      </c>
      <c r="AC39" s="1577">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78"/>
      <c r="Q40" s="1573" t="str">
        <f t="shared" si="11"/>
        <v>市政基础设施</v>
      </c>
      <c r="R40" s="1574" t="s">
        <v>8</v>
      </c>
      <c r="S40" s="1575">
        <f t="shared" si="12"/>
        <v>100</v>
      </c>
      <c r="T40" s="1574" t="s">
        <v>8</v>
      </c>
      <c r="U40" s="1575">
        <f t="shared" si="13"/>
        <v>100</v>
      </c>
      <c r="V40" s="1574" t="s">
        <v>8</v>
      </c>
      <c r="W40" s="1575">
        <f t="shared" si="14"/>
        <v>100</v>
      </c>
      <c r="X40" s="1568"/>
      <c r="Y40" s="3678"/>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78"/>
      <c r="Q41" s="1573" t="str">
        <f t="shared" si="11"/>
        <v>层高</v>
      </c>
      <c r="R41" s="1574" t="s">
        <v>8</v>
      </c>
      <c r="S41" s="1575">
        <f t="shared" si="12"/>
        <v>100</v>
      </c>
      <c r="T41" s="1574" t="s">
        <v>8</v>
      </c>
      <c r="U41" s="1575">
        <f t="shared" si="13"/>
        <v>100</v>
      </c>
      <c r="V41" s="1574" t="s">
        <v>8</v>
      </c>
      <c r="W41" s="1575">
        <f t="shared" si="14"/>
        <v>100</v>
      </c>
      <c r="X41" s="1568"/>
      <c r="Y41" s="3678"/>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78"/>
      <c r="Q42" s="1606" t="str">
        <f t="shared" si="11"/>
        <v>单套建筑面积</v>
      </c>
      <c r="R42" s="1578" t="s">
        <v>8</v>
      </c>
      <c r="S42" s="1579">
        <f t="shared" si="12"/>
        <v>100</v>
      </c>
      <c r="T42" s="1578" t="s">
        <v>8</v>
      </c>
      <c r="U42" s="1579">
        <f t="shared" si="13"/>
        <v>100</v>
      </c>
      <c r="V42" s="1578" t="s">
        <v>8</v>
      </c>
      <c r="W42" s="1579">
        <f t="shared" si="14"/>
        <v>100</v>
      </c>
      <c r="X42" s="1580"/>
      <c r="Y42" s="3678"/>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78"/>
      <c r="Q43" s="1573" t="str">
        <f t="shared" si="11"/>
        <v>内部装修</v>
      </c>
      <c r="R43" s="1574" t="s">
        <v>8</v>
      </c>
      <c r="S43" s="1575">
        <f t="shared" si="12"/>
        <v>100</v>
      </c>
      <c r="T43" s="1574" t="s">
        <v>8</v>
      </c>
      <c r="U43" s="1575">
        <f t="shared" si="13"/>
        <v>100</v>
      </c>
      <c r="V43" s="1574" t="s">
        <v>8</v>
      </c>
      <c r="W43" s="1575">
        <f t="shared" si="14"/>
        <v>100</v>
      </c>
      <c r="X43" s="1568"/>
      <c r="Y43" s="3678"/>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78"/>
      <c r="Q44" s="1573" t="str">
        <f t="shared" si="11"/>
        <v>内部装修维护情况</v>
      </c>
      <c r="R44" s="1574" t="s">
        <v>8</v>
      </c>
      <c r="S44" s="1575">
        <f t="shared" si="12"/>
        <v>100</v>
      </c>
      <c r="T44" s="1574" t="s">
        <v>8</v>
      </c>
      <c r="U44" s="1575">
        <f t="shared" si="13"/>
        <v>100</v>
      </c>
      <c r="V44" s="1574" t="s">
        <v>8</v>
      </c>
      <c r="W44" s="1575">
        <f t="shared" si="14"/>
        <v>100</v>
      </c>
      <c r="X44" s="1568"/>
      <c r="Y44" s="367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78"/>
      <c r="Q45" s="1151">
        <f t="shared" si="11"/>
        <v>111</v>
      </c>
      <c r="R45" s="1569" t="s">
        <v>8</v>
      </c>
      <c r="S45" s="1570">
        <f t="shared" si="12"/>
        <v>100</v>
      </c>
      <c r="T45" s="1569" t="s">
        <v>8</v>
      </c>
      <c r="U45" s="1570">
        <f t="shared" si="13"/>
        <v>100</v>
      </c>
      <c r="V45" s="1569" t="s">
        <v>8</v>
      </c>
      <c r="W45" s="1570">
        <f t="shared" si="14"/>
        <v>100</v>
      </c>
      <c r="X45" s="1571"/>
      <c r="Y45" s="367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78"/>
      <c r="Q46" s="1573">
        <f t="shared" si="11"/>
        <v>111</v>
      </c>
      <c r="R46" s="1574" t="s">
        <v>8</v>
      </c>
      <c r="S46" s="1575">
        <f t="shared" si="12"/>
        <v>100</v>
      </c>
      <c r="T46" s="1574" t="s">
        <v>8</v>
      </c>
      <c r="U46" s="1575">
        <f t="shared" si="13"/>
        <v>100</v>
      </c>
      <c r="V46" s="1574" t="s">
        <v>8</v>
      </c>
      <c r="W46" s="1575">
        <f t="shared" si="14"/>
        <v>100</v>
      </c>
      <c r="X46" s="1568"/>
      <c r="Y46" s="367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4"/>
      <c r="Q47" s="1573">
        <f t="shared" si="11"/>
        <v>111</v>
      </c>
      <c r="R47" s="1574" t="s">
        <v>8</v>
      </c>
      <c r="S47" s="1575">
        <f t="shared" si="12"/>
        <v>100</v>
      </c>
      <c r="T47" s="1574" t="s">
        <v>8</v>
      </c>
      <c r="U47" s="1575">
        <f t="shared" si="13"/>
        <v>100</v>
      </c>
      <c r="V47" s="1574" t="s">
        <v>8</v>
      </c>
      <c r="W47" s="1575">
        <f t="shared" si="14"/>
        <v>100</v>
      </c>
      <c r="X47" s="1568"/>
      <c r="Y47" s="3774"/>
      <c r="Z47" s="1576">
        <f t="shared" si="15"/>
        <v>111</v>
      </c>
      <c r="AA47" s="1577">
        <f t="shared" si="3"/>
        <v>1</v>
      </c>
      <c r="AB47" s="1577">
        <f t="shared" si="4"/>
        <v>1</v>
      </c>
      <c r="AC47" s="1577">
        <f t="shared" si="5"/>
        <v>1</v>
      </c>
    </row>
    <row r="48" spans="1:29" ht="15">
      <c r="A48" s="607" t="s">
        <v>737</v>
      </c>
      <c r="B48" s="887"/>
      <c r="C48" s="2650" t="s">
        <v>1</v>
      </c>
      <c r="D48" s="2651"/>
      <c r="E48" s="2652"/>
      <c r="F48" s="2653"/>
      <c r="G48" s="2654"/>
      <c r="H48" s="2655"/>
      <c r="I48" s="2652"/>
      <c r="J48" s="2655"/>
      <c r="K48" s="1612"/>
      <c r="L48" s="2145"/>
      <c r="M48" s="2135"/>
      <c r="N48" s="2135"/>
      <c r="O48" s="2135"/>
      <c r="P48" s="3695" t="str">
        <f>A48</f>
        <v>成交单价（元/平方米）</v>
      </c>
      <c r="Q48" s="3673"/>
      <c r="R48" s="3773">
        <f>E48</f>
        <v>0</v>
      </c>
      <c r="S48" s="3773"/>
      <c r="T48" s="3773">
        <f>G48</f>
        <v>0</v>
      </c>
      <c r="U48" s="3773"/>
      <c r="V48" s="3773">
        <f>I48</f>
        <v>0</v>
      </c>
      <c r="W48" s="3773"/>
      <c r="X48" s="1560"/>
      <c r="Y48" s="1582"/>
      <c r="Z48" s="1560"/>
      <c r="AA48" s="1560"/>
      <c r="AB48" s="1560"/>
      <c r="AC48" s="1560"/>
    </row>
    <row r="49" spans="1:29" ht="15.75" thickBot="1">
      <c r="A49" s="615" t="s">
        <v>2767</v>
      </c>
      <c r="B49" s="888"/>
      <c r="C49" s="2656" t="e">
        <f>R50</f>
        <v>#DIV/0!</v>
      </c>
      <c r="D49" s="2657"/>
      <c r="E49" s="2658" t="e">
        <f>R49</f>
        <v>#DIV/0!</v>
      </c>
      <c r="F49" s="2658"/>
      <c r="G49" s="2656" t="e">
        <f>T49</f>
        <v>#DIV/0!</v>
      </c>
      <c r="H49" s="2657"/>
      <c r="I49" s="2658" t="e">
        <f>V49</f>
        <v>#DIV/0!</v>
      </c>
      <c r="J49" s="2657"/>
      <c r="K49" s="1613"/>
      <c r="L49" s="2145"/>
      <c r="M49" s="2135"/>
      <c r="N49" s="2135"/>
      <c r="O49" s="2135"/>
      <c r="P49" s="3695" t="str">
        <f>A49</f>
        <v>比较价格（元/平方米）</v>
      </c>
      <c r="Q49" s="3673"/>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1560"/>
      <c r="Y49" s="1560"/>
      <c r="Z49" s="1560"/>
      <c r="AA49" s="1560"/>
      <c r="AB49" s="1560"/>
      <c r="AC49" s="1560"/>
    </row>
    <row r="50" spans="1:29" ht="15.75" thickBot="1">
      <c r="A50" s="621" t="s">
        <v>2942</v>
      </c>
      <c r="B50" s="622"/>
      <c r="C50" s="2659" t="e">
        <f>R50</f>
        <v>#DIV/0!</v>
      </c>
      <c r="D50" s="2659"/>
      <c r="E50" s="2659"/>
      <c r="F50" s="2659"/>
      <c r="G50" s="2659"/>
      <c r="H50" s="2659"/>
      <c r="I50" s="2659"/>
      <c r="J50" s="2659"/>
      <c r="K50" s="1614"/>
      <c r="L50" s="2145"/>
      <c r="M50" s="2135"/>
      <c r="N50" s="2135"/>
      <c r="O50" s="2135"/>
      <c r="P50" s="3778" t="str">
        <f>A50</f>
        <v>估价对象XX用房的比较价格（楼面单价，元/平方米）</v>
      </c>
      <c r="Q50" s="3695"/>
      <c r="R50" s="3772" t="e">
        <f>IF(F1="售价",ROUND(AVERAGE(R49:V49),0),ROUND(AVERAGE(R49:V49),1))</f>
        <v>#DIV/0!</v>
      </c>
      <c r="S50" s="3772"/>
      <c r="T50" s="3772"/>
      <c r="U50" s="3772"/>
      <c r="V50" s="3772"/>
      <c r="W50" s="377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0" t="s">
        <v>2565</v>
      </c>
      <c r="C83" s="2621" t="s">
        <v>2566</v>
      </c>
      <c r="D83" s="2621" t="s">
        <v>2567</v>
      </c>
      <c r="E83" s="2621" t="s">
        <v>2568</v>
      </c>
      <c r="F83" s="2621" t="s">
        <v>2569</v>
      </c>
      <c r="G83" s="2621" t="s">
        <v>2570</v>
      </c>
      <c r="H83" s="674"/>
      <c r="I83" s="674"/>
      <c r="J83" s="674"/>
      <c r="K83" s="674"/>
      <c r="L83" s="674"/>
      <c r="M83" s="2624"/>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79" t="s">
        <v>523</v>
      </c>
      <c r="D4" s="3680"/>
      <c r="E4" s="3703" t="s">
        <v>524</v>
      </c>
      <c r="F4" s="3704"/>
      <c r="G4" s="3679" t="s">
        <v>525</v>
      </c>
      <c r="H4" s="3680"/>
      <c r="I4" s="3679" t="s">
        <v>526</v>
      </c>
      <c r="J4" s="3680"/>
      <c r="K4" s="514" t="s">
        <v>527</v>
      </c>
      <c r="L4" s="2134"/>
      <c r="M4" s="2135"/>
      <c r="N4" s="2135"/>
      <c r="O4" s="2135"/>
      <c r="P4" s="3681" t="s">
        <v>528</v>
      </c>
      <c r="Q4" s="3682"/>
      <c r="R4" s="3667" t="s">
        <v>524</v>
      </c>
      <c r="S4" s="3668"/>
      <c r="T4" s="3667" t="s">
        <v>525</v>
      </c>
      <c r="U4" s="3668"/>
      <c r="V4" s="3687" t="s">
        <v>526</v>
      </c>
      <c r="W4" s="3687"/>
      <c r="X4" s="1568"/>
      <c r="Y4" s="3667" t="s">
        <v>528</v>
      </c>
      <c r="Z4" s="3668"/>
      <c r="AA4" s="3662" t="s">
        <v>524</v>
      </c>
      <c r="AB4" s="3663" t="s">
        <v>525</v>
      </c>
      <c r="AC4" s="3662" t="s">
        <v>526</v>
      </c>
    </row>
    <row r="5" spans="1:29" ht="15">
      <c r="A5" s="515"/>
      <c r="B5" s="516"/>
      <c r="C5" s="3690" t="s">
        <v>2936</v>
      </c>
      <c r="D5" s="3691"/>
      <c r="E5" s="3705" t="s">
        <v>2937</v>
      </c>
      <c r="F5" s="3706"/>
      <c r="G5" s="3690" t="s">
        <v>2938</v>
      </c>
      <c r="H5" s="3691"/>
      <c r="I5" s="3690" t="s">
        <v>2939</v>
      </c>
      <c r="J5" s="3691"/>
      <c r="K5" s="514"/>
      <c r="L5" s="2134"/>
      <c r="M5" s="2135"/>
      <c r="N5" s="2135"/>
      <c r="O5" s="2135"/>
      <c r="P5" s="3683"/>
      <c r="Q5" s="3684"/>
      <c r="R5" s="3669"/>
      <c r="S5" s="3670"/>
      <c r="T5" s="3669"/>
      <c r="U5" s="3670"/>
      <c r="V5" s="3687"/>
      <c r="W5" s="3687"/>
      <c r="X5" s="1568"/>
      <c r="Y5" s="3669"/>
      <c r="Z5" s="3670"/>
      <c r="AA5" s="3663"/>
      <c r="AB5" s="3663"/>
      <c r="AC5" s="3663"/>
    </row>
    <row r="6" spans="1:29" ht="15.75" thickBot="1">
      <c r="A6" s="517"/>
      <c r="B6" s="518"/>
      <c r="C6" s="3688" t="s">
        <v>2940</v>
      </c>
      <c r="D6" s="3689"/>
      <c r="E6" s="3707" t="s">
        <v>2940</v>
      </c>
      <c r="F6" s="3708"/>
      <c r="G6" s="3688" t="s">
        <v>2940</v>
      </c>
      <c r="H6" s="3689"/>
      <c r="I6" s="3688" t="s">
        <v>2940</v>
      </c>
      <c r="J6" s="3689"/>
      <c r="K6" s="514" t="s">
        <v>529</v>
      </c>
      <c r="L6" s="2134"/>
      <c r="M6" s="2135"/>
      <c r="N6" s="2135"/>
      <c r="O6" s="2135"/>
      <c r="P6" s="3685"/>
      <c r="Q6" s="3686"/>
      <c r="R6" s="3669"/>
      <c r="S6" s="3670"/>
      <c r="T6" s="3671"/>
      <c r="U6" s="3672"/>
      <c r="V6" s="3687"/>
      <c r="W6" s="3687"/>
      <c r="X6" s="1568"/>
      <c r="Y6" s="3671"/>
      <c r="Z6" s="3672"/>
      <c r="AA6" s="3664"/>
      <c r="AB6" s="3664"/>
      <c r="AC6" s="3664"/>
    </row>
    <row r="7" spans="1:29" s="1220" customFormat="1" ht="15.75" thickBot="1">
      <c r="A7" s="2936"/>
      <c r="B7" s="2943" t="s">
        <v>530</v>
      </c>
      <c r="C7" s="519">
        <f>'数据-取费表'!B2</f>
        <v>43136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65" t="s">
        <v>531</v>
      </c>
      <c r="Q7" s="3674"/>
      <c r="R7" s="1569" t="s">
        <v>8</v>
      </c>
      <c r="S7" s="1570">
        <f t="shared" ref="S7:S15" si="0">F7</f>
        <v>0</v>
      </c>
      <c r="T7" s="1569" t="s">
        <v>8</v>
      </c>
      <c r="U7" s="1570">
        <f t="shared" ref="U7:U15" si="1">H7</f>
        <v>0</v>
      </c>
      <c r="V7" s="1569" t="s">
        <v>8</v>
      </c>
      <c r="W7" s="1570">
        <f t="shared" ref="W7:W15"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65" t="s">
        <v>534</v>
      </c>
      <c r="Q8" s="3666"/>
      <c r="R8" s="1569" t="s">
        <v>8</v>
      </c>
      <c r="S8" s="1570">
        <f t="shared" si="0"/>
        <v>0</v>
      </c>
      <c r="T8" s="1569" t="s">
        <v>8</v>
      </c>
      <c r="U8" s="1570">
        <f t="shared" si="1"/>
        <v>0</v>
      </c>
      <c r="V8" s="1569" t="s">
        <v>8</v>
      </c>
      <c r="W8" s="1570">
        <f t="shared" si="2"/>
        <v>0</v>
      </c>
      <c r="X8" s="1571"/>
      <c r="Y8" s="3665" t="s">
        <v>534</v>
      </c>
      <c r="Z8" s="3666"/>
      <c r="AA8" s="1572" t="e">
        <f t="shared" ref="AA8:AA40" si="3">D8/F8</f>
        <v>#DIV/0!</v>
      </c>
      <c r="AB8" s="1572" t="e">
        <f t="shared" ref="AB8:AB40" si="4">D8/H8</f>
        <v>#DIV/0!</v>
      </c>
      <c r="AC8" s="1572" t="e">
        <f t="shared" ref="AC8:AC40" si="5">D8/J8</f>
        <v>#DIV/0!</v>
      </c>
    </row>
    <row r="9" spans="1:29" s="1220" customFormat="1" ht="15">
      <c r="A9" s="2938"/>
      <c r="B9" s="2945"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73" t="s">
        <v>536</v>
      </c>
      <c r="Q9" s="1151" t="str">
        <f t="shared" ref="Q9:Q15" si="6">B9</f>
        <v>用途</v>
      </c>
      <c r="R9" s="1569" t="s">
        <v>8</v>
      </c>
      <c r="S9" s="1570">
        <f t="shared" si="0"/>
        <v>100</v>
      </c>
      <c r="T9" s="1569" t="s">
        <v>8</v>
      </c>
      <c r="U9" s="1570">
        <f t="shared" si="1"/>
        <v>100</v>
      </c>
      <c r="V9" s="1569" t="s">
        <v>8</v>
      </c>
      <c r="W9" s="1570">
        <f t="shared" si="2"/>
        <v>100</v>
      </c>
      <c r="X9" s="1571"/>
      <c r="Y9" s="3630"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73"/>
      <c r="Q11" s="1151" t="str">
        <f t="shared" si="6"/>
        <v>容积率</v>
      </c>
      <c r="R11" s="1569" t="s">
        <v>8</v>
      </c>
      <c r="S11" s="1570" t="e">
        <f t="shared" si="0"/>
        <v>#N/A</v>
      </c>
      <c r="T11" s="1569" t="s">
        <v>8</v>
      </c>
      <c r="U11" s="1570" t="e">
        <f t="shared" si="1"/>
        <v>#N/A</v>
      </c>
      <c r="V11" s="1569" t="s">
        <v>8</v>
      </c>
      <c r="W11" s="1570" t="e">
        <f t="shared" si="2"/>
        <v>#N/A</v>
      </c>
      <c r="X11" s="1571"/>
      <c r="Y11" s="3630"/>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73"/>
      <c r="Q12" s="1151">
        <f t="shared" si="6"/>
        <v>111</v>
      </c>
      <c r="R12" s="1569" t="s">
        <v>8</v>
      </c>
      <c r="S12" s="1570">
        <f t="shared" si="0"/>
        <v>100</v>
      </c>
      <c r="T12" s="1569" t="s">
        <v>8</v>
      </c>
      <c r="U12" s="1570">
        <f t="shared" si="1"/>
        <v>100</v>
      </c>
      <c r="V12" s="1569" t="s">
        <v>8</v>
      </c>
      <c r="W12" s="1570">
        <f t="shared" si="2"/>
        <v>100</v>
      </c>
      <c r="X12" s="1571"/>
      <c r="Y12" s="3630"/>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73"/>
      <c r="Q13" s="1151">
        <f t="shared" si="6"/>
        <v>111</v>
      </c>
      <c r="R13" s="1569" t="s">
        <v>8</v>
      </c>
      <c r="S13" s="1570">
        <f t="shared" si="0"/>
        <v>100</v>
      </c>
      <c r="T13" s="1569" t="s">
        <v>8</v>
      </c>
      <c r="U13" s="1570">
        <f t="shared" si="1"/>
        <v>100</v>
      </c>
      <c r="V13" s="1569" t="s">
        <v>8</v>
      </c>
      <c r="W13" s="1570">
        <f t="shared" si="2"/>
        <v>100</v>
      </c>
      <c r="X13" s="1571"/>
      <c r="Y13" s="3630"/>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73"/>
      <c r="Q14" s="1151">
        <f t="shared" si="6"/>
        <v>111</v>
      </c>
      <c r="R14" s="1569" t="s">
        <v>8</v>
      </c>
      <c r="S14" s="1570">
        <f t="shared" si="0"/>
        <v>100</v>
      </c>
      <c r="T14" s="1569" t="s">
        <v>8</v>
      </c>
      <c r="U14" s="1570">
        <f t="shared" si="1"/>
        <v>100</v>
      </c>
      <c r="V14" s="1569" t="s">
        <v>8</v>
      </c>
      <c r="W14" s="1570">
        <f t="shared" si="2"/>
        <v>100</v>
      </c>
      <c r="X14" s="1571"/>
      <c r="Y14" s="3630"/>
      <c r="Z14" s="1150">
        <f t="shared" si="7"/>
        <v>111</v>
      </c>
      <c r="AA14" s="1572">
        <f t="shared" si="3"/>
        <v>1</v>
      </c>
      <c r="AB14" s="1572">
        <f t="shared" si="4"/>
        <v>1</v>
      </c>
      <c r="AC14" s="1572">
        <f t="shared" si="5"/>
        <v>1</v>
      </c>
    </row>
    <row r="15" spans="1:29" ht="57">
      <c r="A15" s="2934"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75" t="s">
        <v>541</v>
      </c>
      <c r="Q15" s="1573" t="str">
        <f t="shared" si="6"/>
        <v>产业集聚程度</v>
      </c>
      <c r="R15" s="1574" t="s">
        <v>8</v>
      </c>
      <c r="S15" s="1575">
        <f t="shared" si="0"/>
        <v>100</v>
      </c>
      <c r="T15" s="1574" t="s">
        <v>8</v>
      </c>
      <c r="U15" s="1575">
        <f t="shared" si="1"/>
        <v>100</v>
      </c>
      <c r="V15" s="1574" t="s">
        <v>8</v>
      </c>
      <c r="W15" s="1575">
        <f t="shared" si="2"/>
        <v>100</v>
      </c>
      <c r="X15" s="1568"/>
      <c r="Y15" s="3675"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76"/>
      <c r="Q16" s="1573"/>
      <c r="R16" s="1574"/>
      <c r="S16" s="1575"/>
      <c r="T16" s="1574"/>
      <c r="U16" s="1575"/>
      <c r="V16" s="1574"/>
      <c r="W16" s="1575"/>
      <c r="X16" s="1568"/>
      <c r="Y16" s="367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76"/>
      <c r="Q17" s="1573" t="str">
        <f>B17</f>
        <v>交通便捷度</v>
      </c>
      <c r="R17" s="1574" t="s">
        <v>8</v>
      </c>
      <c r="S17" s="1575">
        <f>F17</f>
        <v>100</v>
      </c>
      <c r="T17" s="1574" t="s">
        <v>8</v>
      </c>
      <c r="U17" s="1575">
        <f>H17</f>
        <v>100</v>
      </c>
      <c r="V17" s="1574" t="s">
        <v>8</v>
      </c>
      <c r="W17" s="1575">
        <f>J17</f>
        <v>100</v>
      </c>
      <c r="X17" s="1568"/>
      <c r="Y17" s="36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76"/>
      <c r="Q18" s="1573"/>
      <c r="R18" s="1574"/>
      <c r="S18" s="1575"/>
      <c r="T18" s="1574"/>
      <c r="U18" s="1575"/>
      <c r="V18" s="1574"/>
      <c r="W18" s="1575"/>
      <c r="X18" s="1568"/>
      <c r="Y18" s="3676"/>
      <c r="Z18" s="1576"/>
      <c r="AA18" s="1577">
        <v>1</v>
      </c>
      <c r="AB18" s="1577">
        <v>1</v>
      </c>
      <c r="AC18" s="1577">
        <v>1</v>
      </c>
    </row>
    <row r="19" spans="1:29" ht="42.75">
      <c r="A19" s="532"/>
      <c r="B19" s="2626"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76"/>
      <c r="Q19" s="1573" t="str">
        <f>B19</f>
        <v>公共配套设施</v>
      </c>
      <c r="R19" s="1574" t="s">
        <v>8</v>
      </c>
      <c r="S19" s="1575">
        <f>F19</f>
        <v>100</v>
      </c>
      <c r="T19" s="1574" t="s">
        <v>8</v>
      </c>
      <c r="U19" s="1575">
        <f>H19</f>
        <v>100</v>
      </c>
      <c r="V19" s="1574" t="s">
        <v>8</v>
      </c>
      <c r="W19" s="1575">
        <f>J19</f>
        <v>100</v>
      </c>
      <c r="X19" s="1568"/>
      <c r="Y19" s="367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676"/>
      <c r="Q20" s="1573"/>
      <c r="R20" s="1574"/>
      <c r="S20" s="1575"/>
      <c r="T20" s="1574"/>
      <c r="U20" s="1575"/>
      <c r="V20" s="1574"/>
      <c r="W20" s="1575"/>
      <c r="X20" s="1568"/>
      <c r="Y20" s="3676"/>
      <c r="Z20" s="1576"/>
      <c r="AA20" s="1577">
        <v>1</v>
      </c>
      <c r="AB20" s="1577">
        <v>1</v>
      </c>
      <c r="AC20" s="1577">
        <v>1</v>
      </c>
    </row>
    <row r="21" spans="1:29" ht="28.5">
      <c r="A21" s="532"/>
      <c r="B21" s="2614"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76"/>
      <c r="Q21" s="2602" t="str">
        <f>B21</f>
        <v>基础设施水平</v>
      </c>
      <c r="R21" s="1574" t="s">
        <v>8</v>
      </c>
      <c r="S21" s="1575">
        <f>F21</f>
        <v>100</v>
      </c>
      <c r="T21" s="1574" t="s">
        <v>8</v>
      </c>
      <c r="U21" s="1575">
        <f>H21</f>
        <v>100</v>
      </c>
      <c r="V21" s="1574" t="s">
        <v>8</v>
      </c>
      <c r="W21" s="1575">
        <f>J21</f>
        <v>100</v>
      </c>
      <c r="X21" s="2604"/>
      <c r="Y21" s="3676"/>
      <c r="Z21" s="2603"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5"/>
      <c r="L22" s="2143"/>
      <c r="M22" s="2135"/>
      <c r="N22" s="2135"/>
      <c r="O22" s="2142"/>
      <c r="P22" s="3676"/>
      <c r="Q22" s="2602"/>
      <c r="R22" s="1574"/>
      <c r="S22" s="1575"/>
      <c r="T22" s="1574"/>
      <c r="U22" s="1575"/>
      <c r="V22" s="1574"/>
      <c r="W22" s="1575"/>
      <c r="X22" s="2604"/>
      <c r="Y22" s="3676"/>
      <c r="Z22" s="2603"/>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76"/>
      <c r="Q23" s="1573" t="str">
        <f>B23</f>
        <v>环境质量</v>
      </c>
      <c r="R23" s="1574" t="s">
        <v>8</v>
      </c>
      <c r="S23" s="1575">
        <f>F23</f>
        <v>100</v>
      </c>
      <c r="T23" s="1574" t="s">
        <v>8</v>
      </c>
      <c r="U23" s="1575">
        <f>H23</f>
        <v>100</v>
      </c>
      <c r="V23" s="1574" t="s">
        <v>8</v>
      </c>
      <c r="W23" s="1575">
        <f>J23</f>
        <v>100</v>
      </c>
      <c r="X23" s="1568"/>
      <c r="Y23" s="367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676"/>
      <c r="Q24" s="1573"/>
      <c r="R24" s="1574"/>
      <c r="S24" s="1575"/>
      <c r="T24" s="1574"/>
      <c r="U24" s="1575"/>
      <c r="V24" s="1574"/>
      <c r="W24" s="1575"/>
      <c r="X24" s="1568"/>
      <c r="Y24" s="367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76"/>
      <c r="Q25" s="1573">
        <f>B25</f>
        <v>111</v>
      </c>
      <c r="R25" s="1574" t="s">
        <v>8</v>
      </c>
      <c r="S25" s="1575">
        <f>F25</f>
        <v>100</v>
      </c>
      <c r="T25" s="1574" t="s">
        <v>8</v>
      </c>
      <c r="U25" s="1575">
        <f>H25</f>
        <v>100</v>
      </c>
      <c r="V25" s="1574" t="s">
        <v>8</v>
      </c>
      <c r="W25" s="1575">
        <f>J25</f>
        <v>100</v>
      </c>
      <c r="X25" s="1568"/>
      <c r="Y25" s="367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76"/>
      <c r="Q26" s="1573">
        <f t="shared" ref="Q26:Q40" si="11">B26</f>
        <v>111</v>
      </c>
      <c r="R26" s="1574" t="s">
        <v>8</v>
      </c>
      <c r="S26" s="1575">
        <f>F26</f>
        <v>100</v>
      </c>
      <c r="T26" s="1574" t="s">
        <v>8</v>
      </c>
      <c r="U26" s="1575">
        <f>H26</f>
        <v>100</v>
      </c>
      <c r="V26" s="1574" t="s">
        <v>8</v>
      </c>
      <c r="W26" s="1575">
        <f>J26</f>
        <v>100</v>
      </c>
      <c r="X26" s="1568"/>
      <c r="Y26" s="367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76"/>
      <c r="Q27" s="1151">
        <f t="shared" si="11"/>
        <v>111</v>
      </c>
      <c r="R27" s="1569" t="s">
        <v>8</v>
      </c>
      <c r="S27" s="1570">
        <f>F27</f>
        <v>100</v>
      </c>
      <c r="T27" s="1569" t="s">
        <v>8</v>
      </c>
      <c r="U27" s="1570">
        <f>H27</f>
        <v>100</v>
      </c>
      <c r="V27" s="1569" t="s">
        <v>8</v>
      </c>
      <c r="W27" s="1570">
        <f>J27</f>
        <v>100</v>
      </c>
      <c r="X27" s="1571"/>
      <c r="Y27" s="367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76"/>
      <c r="Q28" s="1573">
        <f t="shared" si="11"/>
        <v>111</v>
      </c>
      <c r="R28" s="1574" t="s">
        <v>8</v>
      </c>
      <c r="S28" s="1575">
        <f t="shared" ref="S28:S40" si="12">F28</f>
        <v>100</v>
      </c>
      <c r="T28" s="1574" t="s">
        <v>8</v>
      </c>
      <c r="U28" s="1575">
        <f t="shared" ref="U28:U40" si="13">H28</f>
        <v>100</v>
      </c>
      <c r="V28" s="1574" t="s">
        <v>8</v>
      </c>
      <c r="W28" s="1575">
        <f t="shared" ref="W28:W40" si="14">J28</f>
        <v>100</v>
      </c>
      <c r="X28" s="1568"/>
      <c r="Y28" s="3676"/>
      <c r="Z28" s="1576">
        <f t="shared" ref="Z28:Z40" si="15">Q28</f>
        <v>111</v>
      </c>
      <c r="AA28" s="1577">
        <f t="shared" si="3"/>
        <v>1</v>
      </c>
      <c r="AB28" s="1577">
        <f t="shared" si="4"/>
        <v>1</v>
      </c>
      <c r="AC28" s="1577">
        <f t="shared" si="5"/>
        <v>1</v>
      </c>
    </row>
    <row r="29" spans="1:29" ht="15">
      <c r="A29" s="2931"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77" t="s">
        <v>551</v>
      </c>
      <c r="Q29" s="1573" t="str">
        <f t="shared" si="11"/>
        <v>建筑类型</v>
      </c>
      <c r="R29" s="1574" t="s">
        <v>8</v>
      </c>
      <c r="S29" s="1575">
        <f t="shared" si="12"/>
        <v>100</v>
      </c>
      <c r="T29" s="1574" t="s">
        <v>8</v>
      </c>
      <c r="U29" s="1575">
        <f t="shared" si="13"/>
        <v>100</v>
      </c>
      <c r="V29" s="1574" t="s">
        <v>8</v>
      </c>
      <c r="W29" s="1575">
        <f t="shared" si="14"/>
        <v>100</v>
      </c>
      <c r="X29" s="1568"/>
      <c r="Y29" s="3678"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78"/>
      <c r="Q30" s="1606" t="str">
        <f t="shared" si="11"/>
        <v>项目建筑规模</v>
      </c>
      <c r="R30" s="1578" t="s">
        <v>8</v>
      </c>
      <c r="S30" s="1579" t="e">
        <f t="shared" si="12"/>
        <v>#N/A</v>
      </c>
      <c r="T30" s="1578" t="s">
        <v>8</v>
      </c>
      <c r="U30" s="1579" t="e">
        <f t="shared" si="13"/>
        <v>#N/A</v>
      </c>
      <c r="V30" s="1578" t="s">
        <v>8</v>
      </c>
      <c r="W30" s="1579" t="e">
        <f t="shared" si="14"/>
        <v>#N/A</v>
      </c>
      <c r="X30" s="1580"/>
      <c r="Y30" s="3678"/>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78"/>
      <c r="Q31" s="1573" t="str">
        <f t="shared" si="11"/>
        <v>建筑结构</v>
      </c>
      <c r="R31" s="1574" t="s">
        <v>8</v>
      </c>
      <c r="S31" s="1575">
        <f t="shared" si="12"/>
        <v>100</v>
      </c>
      <c r="T31" s="1574" t="s">
        <v>8</v>
      </c>
      <c r="U31" s="1575">
        <f t="shared" si="13"/>
        <v>100</v>
      </c>
      <c r="V31" s="1574" t="s">
        <v>8</v>
      </c>
      <c r="W31" s="1575">
        <f t="shared" si="14"/>
        <v>100</v>
      </c>
      <c r="X31" s="1568"/>
      <c r="Y31" s="3678"/>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78"/>
      <c r="Q32" s="1573" t="str">
        <f t="shared" si="11"/>
        <v>公共部分装修</v>
      </c>
      <c r="R32" s="1574" t="s">
        <v>8</v>
      </c>
      <c r="S32" s="1575">
        <f t="shared" si="12"/>
        <v>100</v>
      </c>
      <c r="T32" s="1574" t="s">
        <v>8</v>
      </c>
      <c r="U32" s="1575">
        <f t="shared" si="13"/>
        <v>100</v>
      </c>
      <c r="V32" s="1574" t="s">
        <v>8</v>
      </c>
      <c r="W32" s="1575">
        <f t="shared" si="14"/>
        <v>100</v>
      </c>
      <c r="X32" s="1568"/>
      <c r="Y32" s="3678"/>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78"/>
      <c r="Q33" s="1573" t="str">
        <f t="shared" si="11"/>
        <v>成新度</v>
      </c>
      <c r="R33" s="1574" t="s">
        <v>8</v>
      </c>
      <c r="S33" s="1575" t="e">
        <f t="shared" si="12"/>
        <v>#N/A</v>
      </c>
      <c r="T33" s="1574" t="s">
        <v>8</v>
      </c>
      <c r="U33" s="1575" t="e">
        <f t="shared" si="13"/>
        <v>#N/A</v>
      </c>
      <c r="V33" s="1574" t="s">
        <v>8</v>
      </c>
      <c r="W33" s="1575" t="e">
        <f t="shared" si="14"/>
        <v>#N/A</v>
      </c>
      <c r="X33" s="1568"/>
      <c r="Y33" s="3678"/>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78"/>
      <c r="Q34" s="1151" t="str">
        <f t="shared" si="11"/>
        <v>物业管理</v>
      </c>
      <c r="R34" s="1569" t="s">
        <v>8</v>
      </c>
      <c r="S34" s="1570">
        <f t="shared" si="12"/>
        <v>100</v>
      </c>
      <c r="T34" s="1569" t="s">
        <v>8</v>
      </c>
      <c r="U34" s="1570">
        <f t="shared" si="13"/>
        <v>100</v>
      </c>
      <c r="V34" s="1569" t="s">
        <v>8</v>
      </c>
      <c r="W34" s="1570">
        <f t="shared" si="14"/>
        <v>100</v>
      </c>
      <c r="X34" s="1571"/>
      <c r="Y34" s="3678"/>
      <c r="Z34" s="1150" t="str">
        <f t="shared" si="15"/>
        <v>物业管理</v>
      </c>
      <c r="AA34" s="1572">
        <f t="shared" si="3"/>
        <v>1</v>
      </c>
      <c r="AB34" s="1572">
        <f t="shared" si="4"/>
        <v>1</v>
      </c>
      <c r="AC34" s="1572">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78" t="s">
        <v>551</v>
      </c>
      <c r="Q35" s="1573" t="str">
        <f t="shared" si="11"/>
        <v>市政基础设施</v>
      </c>
      <c r="R35" s="1574" t="s">
        <v>8</v>
      </c>
      <c r="S35" s="1575">
        <f t="shared" si="12"/>
        <v>100</v>
      </c>
      <c r="T35" s="1574" t="s">
        <v>8</v>
      </c>
      <c r="U35" s="1575">
        <f t="shared" si="13"/>
        <v>100</v>
      </c>
      <c r="V35" s="1574" t="s">
        <v>8</v>
      </c>
      <c r="W35" s="1575">
        <f t="shared" si="14"/>
        <v>100</v>
      </c>
      <c r="X35" s="1568"/>
      <c r="Y35" s="3678"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78"/>
      <c r="Q36" s="1573" t="str">
        <f t="shared" si="11"/>
        <v>内部装修</v>
      </c>
      <c r="R36" s="1574" t="s">
        <v>8</v>
      </c>
      <c r="S36" s="1575">
        <f t="shared" si="12"/>
        <v>100</v>
      </c>
      <c r="T36" s="1574" t="s">
        <v>8</v>
      </c>
      <c r="U36" s="1575">
        <f t="shared" si="13"/>
        <v>100</v>
      </c>
      <c r="V36" s="1574" t="s">
        <v>8</v>
      </c>
      <c r="W36" s="1575">
        <f t="shared" si="14"/>
        <v>100</v>
      </c>
      <c r="X36" s="1568"/>
      <c r="Y36" s="3678"/>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78"/>
      <c r="Q37" s="1573" t="str">
        <f t="shared" si="11"/>
        <v>内部装修状况</v>
      </c>
      <c r="R37" s="1574" t="s">
        <v>8</v>
      </c>
      <c r="S37" s="1575">
        <f t="shared" si="12"/>
        <v>100</v>
      </c>
      <c r="T37" s="1574" t="s">
        <v>8</v>
      </c>
      <c r="U37" s="1575">
        <f t="shared" si="13"/>
        <v>100</v>
      </c>
      <c r="V37" s="1574" t="s">
        <v>8</v>
      </c>
      <c r="W37" s="1575">
        <f t="shared" si="14"/>
        <v>100</v>
      </c>
      <c r="X37" s="1568"/>
      <c r="Y37" s="367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78"/>
      <c r="Q38" s="1606">
        <f t="shared" si="11"/>
        <v>111</v>
      </c>
      <c r="R38" s="1578" t="s">
        <v>8</v>
      </c>
      <c r="S38" s="1579">
        <f t="shared" si="12"/>
        <v>100</v>
      </c>
      <c r="T38" s="1578" t="s">
        <v>8</v>
      </c>
      <c r="U38" s="1579">
        <f t="shared" si="13"/>
        <v>100</v>
      </c>
      <c r="V38" s="1578" t="s">
        <v>8</v>
      </c>
      <c r="W38" s="1579">
        <f t="shared" si="14"/>
        <v>100</v>
      </c>
      <c r="X38" s="1580"/>
      <c r="Y38" s="367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78"/>
      <c r="Q39" s="1573">
        <f t="shared" si="11"/>
        <v>111</v>
      </c>
      <c r="R39" s="1574" t="s">
        <v>8</v>
      </c>
      <c r="S39" s="1575">
        <f t="shared" si="12"/>
        <v>100</v>
      </c>
      <c r="T39" s="1574" t="s">
        <v>8</v>
      </c>
      <c r="U39" s="1575">
        <f t="shared" si="13"/>
        <v>100</v>
      </c>
      <c r="V39" s="1574" t="s">
        <v>8</v>
      </c>
      <c r="W39" s="1575">
        <f t="shared" si="14"/>
        <v>100</v>
      </c>
      <c r="X39" s="1568"/>
      <c r="Y39" s="367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4"/>
      <c r="Q40" s="1573">
        <f t="shared" si="11"/>
        <v>111</v>
      </c>
      <c r="R40" s="1574" t="s">
        <v>8</v>
      </c>
      <c r="S40" s="1575">
        <f t="shared" si="12"/>
        <v>100</v>
      </c>
      <c r="T40" s="1574" t="s">
        <v>8</v>
      </c>
      <c r="U40" s="1575">
        <f t="shared" si="13"/>
        <v>100</v>
      </c>
      <c r="V40" s="1574" t="s">
        <v>8</v>
      </c>
      <c r="W40" s="1575">
        <f t="shared" si="14"/>
        <v>100</v>
      </c>
      <c r="X40" s="1568"/>
      <c r="Y40" s="3774"/>
      <c r="Z40" s="1576">
        <f t="shared" si="15"/>
        <v>111</v>
      </c>
      <c r="AA40" s="1577">
        <f t="shared" si="3"/>
        <v>1</v>
      </c>
      <c r="AB40" s="1577">
        <f t="shared" si="4"/>
        <v>1</v>
      </c>
      <c r="AC40" s="1577">
        <f t="shared" si="5"/>
        <v>1</v>
      </c>
    </row>
    <row r="41" spans="1:29" ht="15">
      <c r="A41" s="607" t="s">
        <v>737</v>
      </c>
      <c r="B41" s="887"/>
      <c r="C41" s="2650" t="s">
        <v>1</v>
      </c>
      <c r="D41" s="2651"/>
      <c r="E41" s="2652"/>
      <c r="F41" s="2653"/>
      <c r="G41" s="2654"/>
      <c r="H41" s="2655"/>
      <c r="I41" s="2652"/>
      <c r="J41" s="2655"/>
      <c r="K41" s="1612"/>
      <c r="L41" s="2145"/>
      <c r="M41" s="2146"/>
      <c r="N41" s="2135"/>
      <c r="O41" s="2146"/>
      <c r="P41" s="3673" t="str">
        <f>A41</f>
        <v>成交单价（元/平方米）</v>
      </c>
      <c r="Q41" s="3673"/>
      <c r="R41" s="3773">
        <f>E41</f>
        <v>0</v>
      </c>
      <c r="S41" s="3773"/>
      <c r="T41" s="3773">
        <f>G41</f>
        <v>0</v>
      </c>
      <c r="U41" s="3773"/>
      <c r="V41" s="3773">
        <f>I41</f>
        <v>0</v>
      </c>
      <c r="W41" s="3773"/>
      <c r="X41" s="1560"/>
      <c r="Y41" s="1582"/>
      <c r="Z41" s="1560"/>
      <c r="AA41" s="1560"/>
      <c r="AB41" s="1560"/>
      <c r="AC41" s="1560"/>
    </row>
    <row r="42" spans="1:29" ht="15.75" thickBot="1">
      <c r="A42" s="615" t="s">
        <v>2767</v>
      </c>
      <c r="B42" s="888"/>
      <c r="C42" s="2656" t="e">
        <f>R43</f>
        <v>#DIV/0!</v>
      </c>
      <c r="D42" s="2657"/>
      <c r="E42" s="2658" t="e">
        <f>R42</f>
        <v>#DIV/0!</v>
      </c>
      <c r="F42" s="2658"/>
      <c r="G42" s="2656" t="e">
        <f>T42</f>
        <v>#DIV/0!</v>
      </c>
      <c r="H42" s="2657"/>
      <c r="I42" s="2658" t="e">
        <f>V42</f>
        <v>#DIV/0!</v>
      </c>
      <c r="J42" s="2657"/>
      <c r="K42" s="1613"/>
      <c r="L42" s="2145"/>
      <c r="M42" s="2146"/>
      <c r="N42" s="2135"/>
      <c r="O42" s="2146"/>
      <c r="P42" s="3673" t="str">
        <f>A42</f>
        <v>比较价格（元/平方米）</v>
      </c>
      <c r="Q42" s="3673"/>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1560"/>
      <c r="Y42" s="1560"/>
      <c r="Z42" s="1560"/>
      <c r="AA42" s="1560"/>
      <c r="AB42" s="1560"/>
      <c r="AC42" s="1560"/>
    </row>
    <row r="43" spans="1:29" ht="15.75" thickBot="1">
      <c r="A43" s="621" t="s">
        <v>2942</v>
      </c>
      <c r="B43" s="622"/>
      <c r="C43" s="2659" t="e">
        <f>R43</f>
        <v>#DIV/0!</v>
      </c>
      <c r="D43" s="2659"/>
      <c r="E43" s="2659"/>
      <c r="F43" s="2659"/>
      <c r="G43" s="2659"/>
      <c r="H43" s="2659"/>
      <c r="I43" s="2659"/>
      <c r="J43" s="2659"/>
      <c r="K43" s="1614"/>
      <c r="L43" s="2145"/>
      <c r="M43" s="2146"/>
      <c r="N43" s="2146"/>
      <c r="O43" s="2146"/>
      <c r="P43" s="3694" t="str">
        <f>A43</f>
        <v>估价对象XX用房的比较价格（楼面单价，元/平方米）</v>
      </c>
      <c r="Q43" s="3695"/>
      <c r="R43" s="3772" t="e">
        <f>IF(F1="售价",ROUND(AVERAGE(R42:V42),0),ROUND(AVERAGE(R42:V42),1))</f>
        <v>#DIV/0!</v>
      </c>
      <c r="S43" s="3772"/>
      <c r="T43" s="3772"/>
      <c r="U43" s="3772"/>
      <c r="V43" s="3772"/>
      <c r="W43" s="377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0" t="s">
        <v>2565</v>
      </c>
      <c r="C76" s="2621" t="s">
        <v>2566</v>
      </c>
      <c r="D76" s="2621" t="s">
        <v>2567</v>
      </c>
      <c r="E76" s="2621" t="s">
        <v>2568</v>
      </c>
      <c r="F76" s="2621" t="s">
        <v>2569</v>
      </c>
      <c r="G76" s="2621"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79" t="s">
        <v>799</v>
      </c>
      <c r="D4" s="3680"/>
      <c r="E4" s="3679" t="s">
        <v>800</v>
      </c>
      <c r="F4" s="3680"/>
      <c r="G4" s="3679" t="s">
        <v>801</v>
      </c>
      <c r="H4" s="3680"/>
      <c r="I4" s="3679" t="s">
        <v>802</v>
      </c>
      <c r="J4" s="3680"/>
      <c r="K4" s="514" t="s">
        <v>803</v>
      </c>
      <c r="L4" s="2134"/>
      <c r="M4" s="2135"/>
      <c r="N4" s="2135"/>
      <c r="O4" s="2135"/>
      <c r="P4" s="3681" t="s">
        <v>804</v>
      </c>
      <c r="Q4" s="3682"/>
      <c r="R4" s="3667" t="s">
        <v>800</v>
      </c>
      <c r="S4" s="3668"/>
      <c r="T4" s="3667" t="s">
        <v>801</v>
      </c>
      <c r="U4" s="3668"/>
      <c r="V4" s="3687" t="s">
        <v>802</v>
      </c>
      <c r="W4" s="3687"/>
      <c r="X4" s="1568"/>
      <c r="Y4" s="3667" t="s">
        <v>804</v>
      </c>
      <c r="Z4" s="3668"/>
      <c r="AA4" s="3662" t="s">
        <v>800</v>
      </c>
      <c r="AB4" s="3663" t="s">
        <v>801</v>
      </c>
      <c r="AC4" s="3662" t="s">
        <v>802</v>
      </c>
    </row>
    <row r="5" spans="1:29" ht="15">
      <c r="A5" s="515"/>
      <c r="B5" s="516"/>
      <c r="C5" s="3690" t="s">
        <v>2936</v>
      </c>
      <c r="D5" s="3691"/>
      <c r="E5" s="3690" t="s">
        <v>2937</v>
      </c>
      <c r="F5" s="3691"/>
      <c r="G5" s="3690" t="s">
        <v>2938</v>
      </c>
      <c r="H5" s="3691"/>
      <c r="I5" s="3690" t="s">
        <v>2939</v>
      </c>
      <c r="J5" s="3691"/>
      <c r="K5" s="514"/>
      <c r="L5" s="2134"/>
      <c r="M5" s="2135"/>
      <c r="N5" s="2135"/>
      <c r="O5" s="2135"/>
      <c r="P5" s="3683"/>
      <c r="Q5" s="3684"/>
      <c r="R5" s="3669"/>
      <c r="S5" s="3670"/>
      <c r="T5" s="3669"/>
      <c r="U5" s="3670"/>
      <c r="V5" s="3687"/>
      <c r="W5" s="3687"/>
      <c r="X5" s="1568"/>
      <c r="Y5" s="3669"/>
      <c r="Z5" s="3670"/>
      <c r="AA5" s="3663"/>
      <c r="AB5" s="3663"/>
      <c r="AC5" s="3663"/>
    </row>
    <row r="6" spans="1:29" ht="15.75" thickBot="1">
      <c r="A6" s="517"/>
      <c r="B6" s="518"/>
      <c r="C6" s="3688" t="s">
        <v>2940</v>
      </c>
      <c r="D6" s="3689"/>
      <c r="E6" s="3692" t="s">
        <v>2940</v>
      </c>
      <c r="F6" s="3693"/>
      <c r="G6" s="3688" t="s">
        <v>2940</v>
      </c>
      <c r="H6" s="3689"/>
      <c r="I6" s="3688" t="s">
        <v>2940</v>
      </c>
      <c r="J6" s="3689"/>
      <c r="K6" s="514" t="s">
        <v>529</v>
      </c>
      <c r="L6" s="2134"/>
      <c r="M6" s="2135"/>
      <c r="N6" s="2135"/>
      <c r="O6" s="2135"/>
      <c r="P6" s="3685"/>
      <c r="Q6" s="3686"/>
      <c r="R6" s="3669"/>
      <c r="S6" s="3670"/>
      <c r="T6" s="3671"/>
      <c r="U6" s="3672"/>
      <c r="V6" s="3687"/>
      <c r="W6" s="3687"/>
      <c r="X6" s="1568"/>
      <c r="Y6" s="3671"/>
      <c r="Z6" s="3672"/>
      <c r="AA6" s="3664"/>
      <c r="AB6" s="3664"/>
      <c r="AC6" s="3664"/>
    </row>
    <row r="7" spans="1:29" s="1220" customFormat="1" ht="15.75" thickBot="1">
      <c r="A7" s="2936"/>
      <c r="B7" s="2943" t="s">
        <v>530</v>
      </c>
      <c r="C7" s="519">
        <f>'数据-取费表'!B2</f>
        <v>43136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65" t="s">
        <v>531</v>
      </c>
      <c r="Q7" s="3674"/>
      <c r="R7" s="1569" t="s">
        <v>8</v>
      </c>
      <c r="S7" s="1570">
        <f t="shared" ref="S7:S14" si="0">F7</f>
        <v>0</v>
      </c>
      <c r="T7" s="1569" t="s">
        <v>8</v>
      </c>
      <c r="U7" s="1570">
        <f t="shared" ref="U7:U14" si="1">H7</f>
        <v>0</v>
      </c>
      <c r="V7" s="1569" t="s">
        <v>8</v>
      </c>
      <c r="W7" s="1570">
        <f t="shared" ref="W7:W14"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65" t="s">
        <v>534</v>
      </c>
      <c r="Q8" s="3666"/>
      <c r="R8" s="1569" t="s">
        <v>8</v>
      </c>
      <c r="S8" s="1570">
        <f t="shared" si="0"/>
        <v>0</v>
      </c>
      <c r="T8" s="1569" t="s">
        <v>8</v>
      </c>
      <c r="U8" s="1570">
        <f t="shared" si="1"/>
        <v>0</v>
      </c>
      <c r="V8" s="1569" t="s">
        <v>8</v>
      </c>
      <c r="W8" s="1570">
        <f t="shared" si="2"/>
        <v>0</v>
      </c>
      <c r="X8" s="1571"/>
      <c r="Y8" s="3665" t="s">
        <v>534</v>
      </c>
      <c r="Z8" s="3666"/>
      <c r="AA8" s="1572" t="e">
        <f t="shared" ref="AA8:AA36" si="3">D8/F8</f>
        <v>#DIV/0!</v>
      </c>
      <c r="AB8" s="1572" t="e">
        <f t="shared" ref="AB8:AB36" si="4">D8/H8</f>
        <v>#DIV/0!</v>
      </c>
      <c r="AC8" s="1572" t="e">
        <f t="shared" ref="AC8:AC36" si="5">D8/J8</f>
        <v>#DIV/0!</v>
      </c>
    </row>
    <row r="9" spans="1:29" s="1220" customFormat="1" ht="15">
      <c r="A9" s="2938"/>
      <c r="B9" s="2945"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73" t="s">
        <v>536</v>
      </c>
      <c r="Q9" s="1151" t="str">
        <f t="shared" ref="Q9:Q14" si="6">B9</f>
        <v>用途</v>
      </c>
      <c r="R9" s="1569" t="s">
        <v>8</v>
      </c>
      <c r="S9" s="1570">
        <f t="shared" si="0"/>
        <v>100</v>
      </c>
      <c r="T9" s="1569" t="s">
        <v>8</v>
      </c>
      <c r="U9" s="1570">
        <f t="shared" si="1"/>
        <v>100</v>
      </c>
      <c r="V9" s="1569" t="s">
        <v>8</v>
      </c>
      <c r="W9" s="1570">
        <f t="shared" si="2"/>
        <v>100</v>
      </c>
      <c r="X9" s="1571"/>
      <c r="Y9" s="3630" t="s">
        <v>537</v>
      </c>
      <c r="Z9" s="1150" t="str">
        <f t="shared" ref="Z9:Z14" si="7">Q9</f>
        <v>用途</v>
      </c>
      <c r="AA9" s="1572">
        <f t="shared" si="3"/>
        <v>1</v>
      </c>
      <c r="AB9" s="1572">
        <f t="shared" si="4"/>
        <v>1</v>
      </c>
      <c r="AC9" s="1572">
        <f t="shared" si="5"/>
        <v>1</v>
      </c>
    </row>
    <row r="10" spans="1:29" s="1338" customFormat="1" ht="27">
      <c r="A10" s="2939"/>
      <c r="B10" s="2944"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73"/>
      <c r="Q11" s="1151">
        <f t="shared" si="6"/>
        <v>111</v>
      </c>
      <c r="R11" s="1569" t="s">
        <v>8</v>
      </c>
      <c r="S11" s="1570">
        <f t="shared" si="0"/>
        <v>100</v>
      </c>
      <c r="T11" s="1569" t="s">
        <v>8</v>
      </c>
      <c r="U11" s="1570">
        <f t="shared" si="1"/>
        <v>100</v>
      </c>
      <c r="V11" s="1569" t="s">
        <v>8</v>
      </c>
      <c r="W11" s="1570">
        <f t="shared" si="2"/>
        <v>100</v>
      </c>
      <c r="X11" s="1571"/>
      <c r="Y11" s="3630"/>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73"/>
      <c r="Q12" s="1151">
        <f t="shared" si="6"/>
        <v>111</v>
      </c>
      <c r="R12" s="1569" t="s">
        <v>8</v>
      </c>
      <c r="S12" s="1570">
        <f t="shared" si="0"/>
        <v>100</v>
      </c>
      <c r="T12" s="1569" t="s">
        <v>8</v>
      </c>
      <c r="U12" s="1570">
        <f t="shared" si="1"/>
        <v>100</v>
      </c>
      <c r="V12" s="1569" t="s">
        <v>8</v>
      </c>
      <c r="W12" s="1570">
        <f t="shared" si="2"/>
        <v>100</v>
      </c>
      <c r="X12" s="1571"/>
      <c r="Y12" s="3630"/>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73"/>
      <c r="Q13" s="1151">
        <f t="shared" si="6"/>
        <v>111</v>
      </c>
      <c r="R13" s="1569" t="s">
        <v>8</v>
      </c>
      <c r="S13" s="1570">
        <f t="shared" si="0"/>
        <v>100</v>
      </c>
      <c r="T13" s="1569" t="s">
        <v>8</v>
      </c>
      <c r="U13" s="1570">
        <f t="shared" si="1"/>
        <v>100</v>
      </c>
      <c r="V13" s="1569" t="s">
        <v>8</v>
      </c>
      <c r="W13" s="1570">
        <f t="shared" si="2"/>
        <v>100</v>
      </c>
      <c r="X13" s="1571"/>
      <c r="Y13" s="3630"/>
      <c r="Z13" s="1150">
        <f t="shared" si="7"/>
        <v>111</v>
      </c>
      <c r="AA13" s="1572">
        <f t="shared" si="3"/>
        <v>1</v>
      </c>
      <c r="AB13" s="1572">
        <f t="shared" si="4"/>
        <v>1</v>
      </c>
      <c r="AC13" s="1572">
        <f t="shared" si="5"/>
        <v>1</v>
      </c>
    </row>
    <row r="14" spans="1:29" ht="85.5">
      <c r="A14" s="2934"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75" t="s">
        <v>541</v>
      </c>
      <c r="Q14" s="1573" t="str">
        <f t="shared" si="6"/>
        <v>交通便捷度</v>
      </c>
      <c r="R14" s="1574" t="s">
        <v>8</v>
      </c>
      <c r="S14" s="1575">
        <f t="shared" si="0"/>
        <v>100</v>
      </c>
      <c r="T14" s="1574" t="s">
        <v>8</v>
      </c>
      <c r="U14" s="1575">
        <f t="shared" si="1"/>
        <v>100</v>
      </c>
      <c r="V14" s="1574" t="s">
        <v>8</v>
      </c>
      <c r="W14" s="1575">
        <f t="shared" si="2"/>
        <v>100</v>
      </c>
      <c r="X14" s="1568"/>
      <c r="Y14" s="3675"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676"/>
      <c r="Q15" s="1573"/>
      <c r="R15" s="1574"/>
      <c r="S15" s="1575"/>
      <c r="T15" s="1574"/>
      <c r="U15" s="1575"/>
      <c r="V15" s="1574"/>
      <c r="W15" s="1575"/>
      <c r="X15" s="1568"/>
      <c r="Y15" s="3676"/>
      <c r="Z15" s="1576"/>
      <c r="AA15" s="1577">
        <v>1</v>
      </c>
      <c r="AB15" s="1577">
        <v>1</v>
      </c>
      <c r="AC15" s="1577">
        <v>1</v>
      </c>
    </row>
    <row r="16" spans="1:29" ht="85.5">
      <c r="A16" s="515"/>
      <c r="B16" s="2626" t="s">
        <v>2553</v>
      </c>
      <c r="C16" s="872" t="str">
        <f>IF(B1="工业",估价对象房地状况!G5,估价对象房地状况!C7)</f>
        <v>无医院、1公里内八千乡刘店完全小学；1.9公里邮政三农服务站(湾左村卫生所西南)</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76"/>
      <c r="Q16" s="1573" t="str">
        <f>B16</f>
        <v>公共配套设施</v>
      </c>
      <c r="R16" s="1574" t="s">
        <v>8</v>
      </c>
      <c r="S16" s="1575">
        <f>F16</f>
        <v>100</v>
      </c>
      <c r="T16" s="1574" t="s">
        <v>8</v>
      </c>
      <c r="U16" s="1575">
        <f>H16</f>
        <v>100</v>
      </c>
      <c r="V16" s="1574" t="s">
        <v>8</v>
      </c>
      <c r="W16" s="1575">
        <f>J16</f>
        <v>100</v>
      </c>
      <c r="X16" s="1568"/>
      <c r="Y16" s="367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676"/>
      <c r="Q17" s="1573"/>
      <c r="R17" s="1574"/>
      <c r="S17" s="1575"/>
      <c r="T17" s="1574"/>
      <c r="U17" s="1575"/>
      <c r="V17" s="1574"/>
      <c r="W17" s="1575"/>
      <c r="X17" s="1568"/>
      <c r="Y17" s="3676"/>
      <c r="Z17" s="1576"/>
      <c r="AA17" s="1577">
        <v>1</v>
      </c>
      <c r="AB17" s="1577">
        <v>1</v>
      </c>
      <c r="AC17" s="1577">
        <v>1</v>
      </c>
    </row>
    <row r="18" spans="1:29" ht="28.5">
      <c r="A18" s="515"/>
      <c r="B18" s="2614"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76"/>
      <c r="Q18" s="2602" t="str">
        <f>B18</f>
        <v>基础设施水平</v>
      </c>
      <c r="R18" s="1574" t="s">
        <v>8</v>
      </c>
      <c r="S18" s="1575">
        <f>F18</f>
        <v>100</v>
      </c>
      <c r="T18" s="1574" t="s">
        <v>8</v>
      </c>
      <c r="U18" s="1575">
        <f>H18</f>
        <v>100</v>
      </c>
      <c r="V18" s="1574" t="s">
        <v>8</v>
      </c>
      <c r="W18" s="1575">
        <f>J18</f>
        <v>100</v>
      </c>
      <c r="X18" s="2604"/>
      <c r="Y18" s="3676"/>
      <c r="Z18" s="2603"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5"/>
      <c r="L19" s="2143"/>
      <c r="M19" s="2135"/>
      <c r="N19" s="2135"/>
      <c r="O19" s="2142"/>
      <c r="P19" s="3676"/>
      <c r="Q19" s="2602"/>
      <c r="R19" s="1574"/>
      <c r="S19" s="1575"/>
      <c r="T19" s="1574"/>
      <c r="U19" s="1575"/>
      <c r="V19" s="1574"/>
      <c r="W19" s="1575"/>
      <c r="X19" s="2604"/>
      <c r="Y19" s="3676"/>
      <c r="Z19" s="2603"/>
      <c r="AA19" s="1577">
        <v>1</v>
      </c>
      <c r="AB19" s="1577">
        <v>1</v>
      </c>
      <c r="AC19" s="1577">
        <v>1</v>
      </c>
    </row>
    <row r="20" spans="1:29" ht="28.5">
      <c r="A20" s="515"/>
      <c r="B20" s="560" t="s">
        <v>805</v>
      </c>
      <c r="C20" s="872" t="str">
        <f>IF(B1="工业",估价对象房地状况!G7,估价对象房地状况!C9)</f>
        <v>1.8公里双鹤湖公园、</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76"/>
      <c r="Q20" s="1573" t="str">
        <f>B20</f>
        <v>自然及人文环境</v>
      </c>
      <c r="R20" s="1574" t="s">
        <v>8</v>
      </c>
      <c r="S20" s="1575">
        <f>F20</f>
        <v>100</v>
      </c>
      <c r="T20" s="1574" t="s">
        <v>8</v>
      </c>
      <c r="U20" s="1575">
        <f>H20</f>
        <v>100</v>
      </c>
      <c r="V20" s="1574" t="s">
        <v>8</v>
      </c>
      <c r="W20" s="1575">
        <f>J20</f>
        <v>100</v>
      </c>
      <c r="X20" s="1568"/>
      <c r="Y20" s="367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676"/>
      <c r="Q21" s="1573"/>
      <c r="R21" s="1574"/>
      <c r="S21" s="1575"/>
      <c r="T21" s="1574"/>
      <c r="U21" s="1575"/>
      <c r="V21" s="1574"/>
      <c r="W21" s="1575"/>
      <c r="X21" s="1568"/>
      <c r="Y21" s="3676"/>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76"/>
      <c r="Q22" s="1573" t="str">
        <f>B22</f>
        <v>楼层</v>
      </c>
      <c r="R22" s="1574" t="s">
        <v>8</v>
      </c>
      <c r="S22" s="1575">
        <f>F22</f>
        <v>100</v>
      </c>
      <c r="T22" s="1574" t="s">
        <v>8</v>
      </c>
      <c r="U22" s="1575">
        <f>H22</f>
        <v>100</v>
      </c>
      <c r="V22" s="1574" t="s">
        <v>8</v>
      </c>
      <c r="W22" s="1575">
        <f>J22</f>
        <v>100</v>
      </c>
      <c r="X22" s="1568"/>
      <c r="Y22" s="367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76"/>
      <c r="Q23" s="1573">
        <f>B23</f>
        <v>111</v>
      </c>
      <c r="R23" s="1574" t="s">
        <v>8</v>
      </c>
      <c r="S23" s="1575">
        <f>F23</f>
        <v>100</v>
      </c>
      <c r="T23" s="1574" t="s">
        <v>8</v>
      </c>
      <c r="U23" s="1575">
        <f>H23</f>
        <v>100</v>
      </c>
      <c r="V23" s="1574" t="s">
        <v>8</v>
      </c>
      <c r="W23" s="1575">
        <f>J23</f>
        <v>100</v>
      </c>
      <c r="X23" s="1568"/>
      <c r="Y23" s="367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76"/>
      <c r="Q24" s="1573">
        <f t="shared" ref="Q24:Q36" si="11">B24</f>
        <v>111</v>
      </c>
      <c r="R24" s="1574" t="s">
        <v>8</v>
      </c>
      <c r="S24" s="1575">
        <f>F24</f>
        <v>100</v>
      </c>
      <c r="T24" s="1574" t="s">
        <v>8</v>
      </c>
      <c r="U24" s="1575">
        <f>H24</f>
        <v>100</v>
      </c>
      <c r="V24" s="1574" t="s">
        <v>8</v>
      </c>
      <c r="W24" s="1575">
        <f>J24</f>
        <v>100</v>
      </c>
      <c r="X24" s="1568"/>
      <c r="Y24" s="367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76"/>
      <c r="Q25" s="1151">
        <f t="shared" si="11"/>
        <v>111</v>
      </c>
      <c r="R25" s="1569" t="s">
        <v>8</v>
      </c>
      <c r="S25" s="1570">
        <f>F25</f>
        <v>100</v>
      </c>
      <c r="T25" s="1569" t="s">
        <v>8</v>
      </c>
      <c r="U25" s="1570">
        <f>H25</f>
        <v>100</v>
      </c>
      <c r="V25" s="1569" t="s">
        <v>8</v>
      </c>
      <c r="W25" s="1570">
        <f>J25</f>
        <v>100</v>
      </c>
      <c r="X25" s="1571"/>
      <c r="Y25" s="3676"/>
      <c r="Z25" s="1150">
        <f>Q25</f>
        <v>111</v>
      </c>
      <c r="AA25" s="1577">
        <f>D25/F25</f>
        <v>1</v>
      </c>
      <c r="AB25" s="1577">
        <f>D25/H25</f>
        <v>1</v>
      </c>
      <c r="AC25" s="1577">
        <f>D25/J25</f>
        <v>1</v>
      </c>
    </row>
    <row r="26" spans="1:29" ht="15">
      <c r="A26" s="2931"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77"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78"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78"/>
      <c r="Q27" s="1606" t="str">
        <f t="shared" si="11"/>
        <v>项目停车位配比</v>
      </c>
      <c r="R27" s="1578" t="s">
        <v>8</v>
      </c>
      <c r="S27" s="1579">
        <f t="shared" si="12"/>
        <v>100</v>
      </c>
      <c r="T27" s="1578" t="s">
        <v>8</v>
      </c>
      <c r="U27" s="1579">
        <f t="shared" si="13"/>
        <v>100</v>
      </c>
      <c r="V27" s="1578" t="s">
        <v>8</v>
      </c>
      <c r="W27" s="1579">
        <f t="shared" si="14"/>
        <v>100</v>
      </c>
      <c r="X27" s="1580"/>
      <c r="Y27" s="3678"/>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78"/>
      <c r="Q28" s="1573" t="str">
        <f t="shared" si="11"/>
        <v>公共部分装修</v>
      </c>
      <c r="R28" s="1574" t="s">
        <v>8</v>
      </c>
      <c r="S28" s="1575">
        <f t="shared" si="12"/>
        <v>100</v>
      </c>
      <c r="T28" s="1574" t="s">
        <v>8</v>
      </c>
      <c r="U28" s="1575">
        <f t="shared" si="13"/>
        <v>100</v>
      </c>
      <c r="V28" s="1574" t="s">
        <v>8</v>
      </c>
      <c r="W28" s="1575">
        <f t="shared" si="14"/>
        <v>100</v>
      </c>
      <c r="X28" s="1568"/>
      <c r="Y28" s="3678"/>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78"/>
      <c r="Q29" s="1573" t="str">
        <f t="shared" si="11"/>
        <v>成新率</v>
      </c>
      <c r="R29" s="1574" t="s">
        <v>8</v>
      </c>
      <c r="S29" s="1575" t="e">
        <f t="shared" si="12"/>
        <v>#N/A</v>
      </c>
      <c r="T29" s="1574" t="s">
        <v>8</v>
      </c>
      <c r="U29" s="1575" t="e">
        <f t="shared" si="13"/>
        <v>#N/A</v>
      </c>
      <c r="V29" s="1574" t="s">
        <v>8</v>
      </c>
      <c r="W29" s="1575" t="e">
        <f t="shared" si="14"/>
        <v>#N/A</v>
      </c>
      <c r="X29" s="1568"/>
      <c r="Y29" s="3678"/>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78"/>
      <c r="Q30" s="1573" t="str">
        <f t="shared" si="11"/>
        <v>物业等级</v>
      </c>
      <c r="R30" s="1574" t="s">
        <v>8</v>
      </c>
      <c r="S30" s="1575">
        <f t="shared" si="12"/>
        <v>100</v>
      </c>
      <c r="T30" s="1574" t="s">
        <v>8</v>
      </c>
      <c r="U30" s="1575">
        <f t="shared" si="13"/>
        <v>100</v>
      </c>
      <c r="V30" s="1574" t="s">
        <v>8</v>
      </c>
      <c r="W30" s="1575">
        <f t="shared" si="14"/>
        <v>100</v>
      </c>
      <c r="X30" s="1568"/>
      <c r="Y30" s="3678"/>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78"/>
      <c r="Q31" s="1151" t="str">
        <f t="shared" si="11"/>
        <v>停车位面积</v>
      </c>
      <c r="R31" s="1569" t="s">
        <v>8</v>
      </c>
      <c r="S31" s="1570" t="e">
        <f t="shared" si="12"/>
        <v>#N/A</v>
      </c>
      <c r="T31" s="1569" t="s">
        <v>8</v>
      </c>
      <c r="U31" s="1570" t="e">
        <f t="shared" si="13"/>
        <v>#N/A</v>
      </c>
      <c r="V31" s="1569" t="s">
        <v>8</v>
      </c>
      <c r="W31" s="1570" t="e">
        <f t="shared" si="14"/>
        <v>#N/A</v>
      </c>
      <c r="X31" s="1571"/>
      <c r="Y31" s="3678"/>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78" t="s">
        <v>551</v>
      </c>
      <c r="Q32" s="1573" t="str">
        <f t="shared" si="11"/>
        <v>车位类型</v>
      </c>
      <c r="R32" s="1574" t="s">
        <v>8</v>
      </c>
      <c r="S32" s="1575">
        <f t="shared" si="12"/>
        <v>100</v>
      </c>
      <c r="T32" s="1574" t="s">
        <v>8</v>
      </c>
      <c r="U32" s="1575">
        <f t="shared" si="13"/>
        <v>100</v>
      </c>
      <c r="V32" s="1574" t="s">
        <v>8</v>
      </c>
      <c r="W32" s="1575">
        <f t="shared" si="14"/>
        <v>100</v>
      </c>
      <c r="X32" s="1568"/>
      <c r="Y32" s="3678"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78"/>
      <c r="Q33" s="1573" t="str">
        <f t="shared" si="11"/>
        <v>是否直接入户</v>
      </c>
      <c r="R33" s="1574" t="s">
        <v>8</v>
      </c>
      <c r="S33" s="1575">
        <f t="shared" si="12"/>
        <v>100</v>
      </c>
      <c r="T33" s="1574" t="s">
        <v>8</v>
      </c>
      <c r="U33" s="1575">
        <f t="shared" si="13"/>
        <v>100</v>
      </c>
      <c r="V33" s="1574" t="s">
        <v>8</v>
      </c>
      <c r="W33" s="1575">
        <f t="shared" si="14"/>
        <v>100</v>
      </c>
      <c r="X33" s="1568"/>
      <c r="Y33" s="367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78"/>
      <c r="Q34" s="1573">
        <f t="shared" si="11"/>
        <v>111</v>
      </c>
      <c r="R34" s="1574" t="s">
        <v>8</v>
      </c>
      <c r="S34" s="1575">
        <f t="shared" si="12"/>
        <v>100</v>
      </c>
      <c r="T34" s="1574" t="s">
        <v>8</v>
      </c>
      <c r="U34" s="1575">
        <f t="shared" si="13"/>
        <v>100</v>
      </c>
      <c r="V34" s="1574" t="s">
        <v>8</v>
      </c>
      <c r="W34" s="1575">
        <f t="shared" si="14"/>
        <v>100</v>
      </c>
      <c r="X34" s="1568"/>
      <c r="Y34" s="367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78"/>
      <c r="Q35" s="1606">
        <f t="shared" si="11"/>
        <v>111</v>
      </c>
      <c r="R35" s="1578" t="s">
        <v>8</v>
      </c>
      <c r="S35" s="1579">
        <f t="shared" si="12"/>
        <v>100</v>
      </c>
      <c r="T35" s="1578" t="s">
        <v>8</v>
      </c>
      <c r="U35" s="1579">
        <f t="shared" si="13"/>
        <v>100</v>
      </c>
      <c r="V35" s="1578" t="s">
        <v>8</v>
      </c>
      <c r="W35" s="1579">
        <f t="shared" si="14"/>
        <v>100</v>
      </c>
      <c r="X35" s="1580"/>
      <c r="Y35" s="367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78"/>
      <c r="Q36" s="1573">
        <f t="shared" si="11"/>
        <v>111</v>
      </c>
      <c r="R36" s="1574" t="s">
        <v>8</v>
      </c>
      <c r="S36" s="1575">
        <f t="shared" si="12"/>
        <v>100</v>
      </c>
      <c r="T36" s="1574" t="s">
        <v>8</v>
      </c>
      <c r="U36" s="1575">
        <f t="shared" si="13"/>
        <v>100</v>
      </c>
      <c r="V36" s="1574" t="s">
        <v>8</v>
      </c>
      <c r="W36" s="1575">
        <f t="shared" si="14"/>
        <v>100</v>
      </c>
      <c r="X36" s="1568"/>
      <c r="Y36" s="3678"/>
      <c r="Z36" s="1576">
        <f t="shared" si="15"/>
        <v>111</v>
      </c>
      <c r="AA36" s="1577">
        <f t="shared" si="3"/>
        <v>1</v>
      </c>
      <c r="AB36" s="1577">
        <f t="shared" si="4"/>
        <v>1</v>
      </c>
      <c r="AC36" s="1577">
        <f t="shared" si="5"/>
        <v>1</v>
      </c>
    </row>
    <row r="37" spans="1:29" ht="15">
      <c r="A37" s="1847" t="s">
        <v>2081</v>
      </c>
      <c r="B37" s="1848" t="s">
        <v>2082</v>
      </c>
      <c r="C37" s="2650" t="s">
        <v>1</v>
      </c>
      <c r="D37" s="2651"/>
      <c r="E37" s="2652"/>
      <c r="F37" s="2653"/>
      <c r="G37" s="2654"/>
      <c r="H37" s="2655"/>
      <c r="I37" s="2652"/>
      <c r="J37" s="2655"/>
      <c r="K37" s="1612"/>
      <c r="L37" s="2145"/>
      <c r="M37" s="2146"/>
      <c r="N37" s="2135"/>
      <c r="O37" s="2146"/>
      <c r="P37" s="3673" t="str">
        <f>A37</f>
        <v>成交单价</v>
      </c>
      <c r="Q37" s="3673"/>
      <c r="R37" s="3773">
        <f>E37</f>
        <v>0</v>
      </c>
      <c r="S37" s="3773"/>
      <c r="T37" s="3773">
        <f>G37</f>
        <v>0</v>
      </c>
      <c r="U37" s="3773"/>
      <c r="V37" s="3773">
        <f>I37</f>
        <v>0</v>
      </c>
      <c r="W37" s="3773"/>
      <c r="X37" s="1560"/>
      <c r="Y37" s="1582"/>
      <c r="Z37" s="1560"/>
      <c r="AA37" s="1560"/>
      <c r="AB37" s="1560"/>
      <c r="AC37" s="1560"/>
    </row>
    <row r="38" spans="1:29" ht="15.75" thickBot="1">
      <c r="A38" s="615" t="s">
        <v>2767</v>
      </c>
      <c r="B38" s="888"/>
      <c r="C38" s="2656" t="e">
        <f>R39</f>
        <v>#DIV/0!</v>
      </c>
      <c r="D38" s="2657"/>
      <c r="E38" s="2658" t="e">
        <f>R38</f>
        <v>#DIV/0!</v>
      </c>
      <c r="F38" s="2658"/>
      <c r="G38" s="2656" t="e">
        <f>T38</f>
        <v>#DIV/0!</v>
      </c>
      <c r="H38" s="2657"/>
      <c r="I38" s="2658" t="e">
        <f>V38</f>
        <v>#DIV/0!</v>
      </c>
      <c r="J38" s="2657"/>
      <c r="K38" s="1613"/>
      <c r="L38" s="2145"/>
      <c r="M38" s="2146"/>
      <c r="N38" s="2146"/>
      <c r="O38" s="2146"/>
      <c r="P38" s="3673" t="str">
        <f>A38</f>
        <v>比较价格（元/平方米）</v>
      </c>
      <c r="Q38" s="3673"/>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1560"/>
      <c r="Y38" s="1560"/>
      <c r="Z38" s="1560"/>
      <c r="AA38" s="1560"/>
      <c r="AB38" s="1560"/>
      <c r="AC38" s="1560"/>
    </row>
    <row r="39" spans="1:29" ht="15.75" thickBot="1">
      <c r="A39" s="621" t="s">
        <v>2942</v>
      </c>
      <c r="B39" s="622"/>
      <c r="C39" s="2659" t="e">
        <f>R39</f>
        <v>#DIV/0!</v>
      </c>
      <c r="D39" s="2659"/>
      <c r="E39" s="2659"/>
      <c r="F39" s="2659"/>
      <c r="G39" s="2659"/>
      <c r="H39" s="2659"/>
      <c r="I39" s="2659"/>
      <c r="J39" s="2659"/>
      <c r="K39" s="1614"/>
      <c r="L39" s="2145"/>
      <c r="M39" s="2146"/>
      <c r="N39" s="2146"/>
      <c r="O39" s="2146"/>
      <c r="P39" s="3694" t="str">
        <f>A39</f>
        <v>估价对象XX用房的比较价格（楼面单价，元/平方米）</v>
      </c>
      <c r="Q39" s="3695"/>
      <c r="R39" s="3772" t="e">
        <f>IF(F1="售价",ROUND(AVERAGE(R38:V38),0),ROUND(AVERAGE(R38:V38),1))</f>
        <v>#DIV/0!</v>
      </c>
      <c r="S39" s="3772"/>
      <c r="T39" s="3772"/>
      <c r="U39" s="3772"/>
      <c r="V39" s="3772"/>
      <c r="W39" s="377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61"/>
      <c r="Q48" s="2162"/>
      <c r="R48" s="2162"/>
      <c r="S48" s="2162"/>
      <c r="T48" s="2162"/>
      <c r="U48" s="2162"/>
      <c r="V48" s="2162"/>
      <c r="W48" s="2162"/>
      <c r="X48" s="2162"/>
      <c r="Y48" s="2162"/>
      <c r="Z48" s="2162"/>
      <c r="AA48" s="2162"/>
      <c r="AB48" s="2162"/>
      <c r="AC48" s="2162"/>
    </row>
    <row r="49" spans="1:29" s="1220" customFormat="1" ht="15">
      <c r="A49" s="647"/>
      <c r="B49" s="648"/>
      <c r="C49" s="2827">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0" t="s">
        <v>2565</v>
      </c>
      <c r="C67" s="2621" t="s">
        <v>2566</v>
      </c>
      <c r="D67" s="2621" t="s">
        <v>2567</v>
      </c>
      <c r="E67" s="2621" t="s">
        <v>2568</v>
      </c>
      <c r="F67" s="2621" t="s">
        <v>2569</v>
      </c>
      <c r="G67" s="2621" t="s">
        <v>2570</v>
      </c>
      <c r="H67" s="674"/>
      <c r="I67" s="674"/>
      <c r="J67" s="674"/>
      <c r="K67" s="674"/>
      <c r="L67" s="674"/>
      <c r="M67" s="2624"/>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79" t="s">
        <v>799</v>
      </c>
      <c r="D4" s="3680"/>
      <c r="E4" s="3703" t="s">
        <v>800</v>
      </c>
      <c r="F4" s="3704"/>
      <c r="G4" s="3679" t="s">
        <v>801</v>
      </c>
      <c r="H4" s="3680"/>
      <c r="I4" s="3679" t="s">
        <v>802</v>
      </c>
      <c r="J4" s="3680"/>
      <c r="K4" s="514" t="s">
        <v>803</v>
      </c>
      <c r="L4" s="2134"/>
      <c r="M4" s="2135"/>
      <c r="N4" s="2135"/>
      <c r="O4" s="2135"/>
      <c r="P4" s="3681" t="s">
        <v>804</v>
      </c>
      <c r="Q4" s="3682"/>
      <c r="R4" s="3667" t="s">
        <v>800</v>
      </c>
      <c r="S4" s="3668"/>
      <c r="T4" s="3667" t="s">
        <v>801</v>
      </c>
      <c r="U4" s="3668"/>
      <c r="V4" s="3687" t="s">
        <v>802</v>
      </c>
      <c r="W4" s="3687"/>
      <c r="X4" s="1568"/>
      <c r="Y4" s="3667" t="s">
        <v>804</v>
      </c>
      <c r="Z4" s="3668"/>
      <c r="AA4" s="3662" t="s">
        <v>800</v>
      </c>
      <c r="AB4" s="3663" t="s">
        <v>801</v>
      </c>
      <c r="AC4" s="3662" t="s">
        <v>802</v>
      </c>
    </row>
    <row r="5" spans="1:29" ht="15">
      <c r="A5" s="515"/>
      <c r="B5" s="516"/>
      <c r="C5" s="3690" t="s">
        <v>2936</v>
      </c>
      <c r="D5" s="3691"/>
      <c r="E5" s="3705" t="s">
        <v>2937</v>
      </c>
      <c r="F5" s="3706"/>
      <c r="G5" s="3690" t="s">
        <v>2938</v>
      </c>
      <c r="H5" s="3691"/>
      <c r="I5" s="3690" t="s">
        <v>2939</v>
      </c>
      <c r="J5" s="3691"/>
      <c r="K5" s="514"/>
      <c r="L5" s="2134"/>
      <c r="M5" s="2135"/>
      <c r="N5" s="2135"/>
      <c r="O5" s="2135"/>
      <c r="P5" s="3683"/>
      <c r="Q5" s="3684"/>
      <c r="R5" s="3669"/>
      <c r="S5" s="3670"/>
      <c r="T5" s="3669"/>
      <c r="U5" s="3670"/>
      <c r="V5" s="3687"/>
      <c r="W5" s="3687"/>
      <c r="X5" s="1568"/>
      <c r="Y5" s="3669"/>
      <c r="Z5" s="3670"/>
      <c r="AA5" s="3663"/>
      <c r="AB5" s="3663"/>
      <c r="AC5" s="3663"/>
    </row>
    <row r="6" spans="1:29" ht="15.75" thickBot="1">
      <c r="A6" s="517"/>
      <c r="B6" s="518"/>
      <c r="C6" s="3688" t="s">
        <v>2940</v>
      </c>
      <c r="D6" s="3689"/>
      <c r="E6" s="3707" t="s">
        <v>2940</v>
      </c>
      <c r="F6" s="3708"/>
      <c r="G6" s="3688" t="s">
        <v>2940</v>
      </c>
      <c r="H6" s="3689"/>
      <c r="I6" s="3688" t="s">
        <v>2940</v>
      </c>
      <c r="J6" s="3689"/>
      <c r="K6" s="514" t="s">
        <v>529</v>
      </c>
      <c r="L6" s="2134"/>
      <c r="M6" s="2135"/>
      <c r="N6" s="2135"/>
      <c r="O6" s="2135"/>
      <c r="P6" s="3685"/>
      <c r="Q6" s="3686"/>
      <c r="R6" s="3669"/>
      <c r="S6" s="3670"/>
      <c r="T6" s="3671"/>
      <c r="U6" s="3672"/>
      <c r="V6" s="3687"/>
      <c r="W6" s="3687"/>
      <c r="X6" s="1568"/>
      <c r="Y6" s="3671"/>
      <c r="Z6" s="3672"/>
      <c r="AA6" s="3664"/>
      <c r="AB6" s="3664"/>
      <c r="AC6" s="3664"/>
    </row>
    <row r="7" spans="1:29" s="1220" customFormat="1" ht="15.75" thickBot="1">
      <c r="A7" s="2936"/>
      <c r="B7" s="2943" t="s">
        <v>530</v>
      </c>
      <c r="C7" s="519">
        <f>'数据-取费表'!B2</f>
        <v>43136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65" t="s">
        <v>531</v>
      </c>
      <c r="Q7" s="3674"/>
      <c r="R7" s="1569" t="s">
        <v>8</v>
      </c>
      <c r="S7" s="1570">
        <f t="shared" ref="S7:S14" si="0">F7</f>
        <v>0</v>
      </c>
      <c r="T7" s="1569" t="s">
        <v>8</v>
      </c>
      <c r="U7" s="1570">
        <f t="shared" ref="U7:U14" si="1">H7</f>
        <v>0</v>
      </c>
      <c r="V7" s="1569" t="s">
        <v>8</v>
      </c>
      <c r="W7" s="1570">
        <f t="shared" ref="W7:W14" si="2">J7</f>
        <v>0</v>
      </c>
      <c r="X7" s="1571"/>
      <c r="Y7" s="3665" t="s">
        <v>531</v>
      </c>
      <c r="Z7" s="3666"/>
      <c r="AA7" s="1572" t="e">
        <f>D7/F7</f>
        <v>#DIV/0!</v>
      </c>
      <c r="AB7" s="1572" t="e">
        <f>D7/H7</f>
        <v>#DIV/0!</v>
      </c>
      <c r="AC7" s="1572" t="e">
        <f>D7/J7</f>
        <v>#DIV/0!</v>
      </c>
    </row>
    <row r="8" spans="1:29" s="1220"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65" t="s">
        <v>534</v>
      </c>
      <c r="Q8" s="3666"/>
      <c r="R8" s="1569" t="s">
        <v>8</v>
      </c>
      <c r="S8" s="1570">
        <f t="shared" si="0"/>
        <v>0</v>
      </c>
      <c r="T8" s="1569" t="s">
        <v>8</v>
      </c>
      <c r="U8" s="1570">
        <f t="shared" si="1"/>
        <v>0</v>
      </c>
      <c r="V8" s="1569" t="s">
        <v>8</v>
      </c>
      <c r="W8" s="1570">
        <f t="shared" si="2"/>
        <v>0</v>
      </c>
      <c r="X8" s="1571"/>
      <c r="Y8" s="3665" t="s">
        <v>534</v>
      </c>
      <c r="Z8" s="3666"/>
      <c r="AA8" s="1572" t="e">
        <f t="shared" ref="AA8:AA34" si="3">D8/F8</f>
        <v>#DIV/0!</v>
      </c>
      <c r="AB8" s="1572" t="e">
        <f t="shared" ref="AB8:AB34" si="4">D8/H8</f>
        <v>#DIV/0!</v>
      </c>
      <c r="AC8" s="1572" t="e">
        <f t="shared" ref="AC8:AC34" si="5">D8/J8</f>
        <v>#DIV/0!</v>
      </c>
    </row>
    <row r="9" spans="1:29" s="1220" customFormat="1" ht="15">
      <c r="A9" s="2938"/>
      <c r="B9" s="2945"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73" t="s">
        <v>536</v>
      </c>
      <c r="Q9" s="1151" t="str">
        <f t="shared" ref="Q9:Q14" si="6">B9</f>
        <v>用途</v>
      </c>
      <c r="R9" s="1569" t="s">
        <v>8</v>
      </c>
      <c r="S9" s="1570">
        <f t="shared" si="0"/>
        <v>100</v>
      </c>
      <c r="T9" s="1569" t="s">
        <v>8</v>
      </c>
      <c r="U9" s="1570">
        <f t="shared" si="1"/>
        <v>100</v>
      </c>
      <c r="V9" s="1569" t="s">
        <v>8</v>
      </c>
      <c r="W9" s="1570">
        <f t="shared" si="2"/>
        <v>100</v>
      </c>
      <c r="X9" s="1571"/>
      <c r="Y9" s="3630" t="s">
        <v>537</v>
      </c>
      <c r="Z9" s="1150" t="str">
        <f t="shared" ref="Z9:Z14" si="7">Q9</f>
        <v>用途</v>
      </c>
      <c r="AA9" s="1572">
        <f t="shared" si="3"/>
        <v>1</v>
      </c>
      <c r="AB9" s="1572">
        <f t="shared" si="4"/>
        <v>1</v>
      </c>
      <c r="AC9" s="1572">
        <f t="shared" si="5"/>
        <v>1</v>
      </c>
    </row>
    <row r="10" spans="1:29" s="1338" customFormat="1" ht="27">
      <c r="A10" s="2939"/>
      <c r="B10" s="2944"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73"/>
      <c r="Q10" s="1151" t="str">
        <f t="shared" si="6"/>
        <v>土地使用年限（年）</v>
      </c>
      <c r="R10" s="1569" t="s">
        <v>8</v>
      </c>
      <c r="S10" s="1570">
        <f t="shared" si="0"/>
        <v>100</v>
      </c>
      <c r="T10" s="1569" t="s">
        <v>8</v>
      </c>
      <c r="U10" s="1570">
        <f t="shared" si="1"/>
        <v>100</v>
      </c>
      <c r="V10" s="1569" t="s">
        <v>8</v>
      </c>
      <c r="W10" s="1570">
        <f t="shared" si="2"/>
        <v>100</v>
      </c>
      <c r="X10" s="1571"/>
      <c r="Y10" s="3630"/>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73"/>
      <c r="Q11" s="1151">
        <f t="shared" si="6"/>
        <v>111</v>
      </c>
      <c r="R11" s="1569" t="s">
        <v>8</v>
      </c>
      <c r="S11" s="1570">
        <f t="shared" si="0"/>
        <v>100</v>
      </c>
      <c r="T11" s="1569" t="s">
        <v>8</v>
      </c>
      <c r="U11" s="1570">
        <f t="shared" si="1"/>
        <v>100</v>
      </c>
      <c r="V11" s="1569" t="s">
        <v>8</v>
      </c>
      <c r="W11" s="1570">
        <f t="shared" si="2"/>
        <v>100</v>
      </c>
      <c r="X11" s="1571"/>
      <c r="Y11" s="3630"/>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73"/>
      <c r="Q12" s="1151">
        <f t="shared" si="6"/>
        <v>111</v>
      </c>
      <c r="R12" s="1569" t="s">
        <v>8</v>
      </c>
      <c r="S12" s="1570">
        <f t="shared" si="0"/>
        <v>100</v>
      </c>
      <c r="T12" s="1569" t="s">
        <v>8</v>
      </c>
      <c r="U12" s="1570">
        <f t="shared" si="1"/>
        <v>100</v>
      </c>
      <c r="V12" s="1569" t="s">
        <v>8</v>
      </c>
      <c r="W12" s="1570">
        <f t="shared" si="2"/>
        <v>100</v>
      </c>
      <c r="X12" s="1571"/>
      <c r="Y12" s="3630"/>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73"/>
      <c r="Q13" s="1151">
        <f t="shared" si="6"/>
        <v>111</v>
      </c>
      <c r="R13" s="1569" t="s">
        <v>8</v>
      </c>
      <c r="S13" s="1570">
        <f t="shared" si="0"/>
        <v>100</v>
      </c>
      <c r="T13" s="1569" t="s">
        <v>8</v>
      </c>
      <c r="U13" s="1570">
        <f t="shared" si="1"/>
        <v>100</v>
      </c>
      <c r="V13" s="1569" t="s">
        <v>8</v>
      </c>
      <c r="W13" s="1570">
        <f t="shared" si="2"/>
        <v>100</v>
      </c>
      <c r="X13" s="1571"/>
      <c r="Y13" s="3630"/>
      <c r="Z13" s="1150">
        <f t="shared" si="7"/>
        <v>111</v>
      </c>
      <c r="AA13" s="1572">
        <f t="shared" si="3"/>
        <v>1</v>
      </c>
      <c r="AB13" s="1572">
        <f t="shared" si="4"/>
        <v>1</v>
      </c>
      <c r="AC13" s="1572">
        <f t="shared" si="5"/>
        <v>1</v>
      </c>
    </row>
    <row r="14" spans="1:29" ht="85.5">
      <c r="A14" s="2934"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75" t="s">
        <v>541</v>
      </c>
      <c r="Q14" s="1573" t="str">
        <f t="shared" si="6"/>
        <v>交通便捷度</v>
      </c>
      <c r="R14" s="1574" t="s">
        <v>8</v>
      </c>
      <c r="S14" s="1575">
        <f t="shared" si="0"/>
        <v>100</v>
      </c>
      <c r="T14" s="1574" t="s">
        <v>8</v>
      </c>
      <c r="U14" s="1575">
        <f t="shared" si="1"/>
        <v>100</v>
      </c>
      <c r="V14" s="1574" t="s">
        <v>8</v>
      </c>
      <c r="W14" s="1575">
        <f t="shared" si="2"/>
        <v>100</v>
      </c>
      <c r="X14" s="1568"/>
      <c r="Y14" s="3675"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676"/>
      <c r="Q15" s="1573"/>
      <c r="R15" s="1574"/>
      <c r="S15" s="1575"/>
      <c r="T15" s="1574"/>
      <c r="U15" s="1575"/>
      <c r="V15" s="1574"/>
      <c r="W15" s="1575"/>
      <c r="X15" s="1568"/>
      <c r="Y15" s="3676"/>
      <c r="Z15" s="1576"/>
      <c r="AA15" s="1577">
        <v>1</v>
      </c>
      <c r="AB15" s="1577">
        <v>1</v>
      </c>
      <c r="AC15" s="1577">
        <v>1</v>
      </c>
    </row>
    <row r="16" spans="1:29" ht="85.5">
      <c r="A16" s="532"/>
      <c r="B16" s="2626" t="s">
        <v>2553</v>
      </c>
      <c r="C16" s="872" t="str">
        <f>IF(B1="工业",估价对象房地状况!G5,估价对象房地状况!C7)</f>
        <v>无医院、1公里内八千乡刘店完全小学；1.9公里邮政三农服务站(湾左村卫生所西南)</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76"/>
      <c r="Q16" s="1573" t="str">
        <f>B16</f>
        <v>公共配套设施</v>
      </c>
      <c r="R16" s="1574" t="s">
        <v>8</v>
      </c>
      <c r="S16" s="1575">
        <f>F16</f>
        <v>100</v>
      </c>
      <c r="T16" s="1574" t="s">
        <v>8</v>
      </c>
      <c r="U16" s="1575">
        <f>H16</f>
        <v>100</v>
      </c>
      <c r="V16" s="1574" t="s">
        <v>8</v>
      </c>
      <c r="W16" s="1575">
        <f>J16</f>
        <v>100</v>
      </c>
      <c r="X16" s="1568"/>
      <c r="Y16" s="367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676"/>
      <c r="Q17" s="1573"/>
      <c r="R17" s="1574"/>
      <c r="S17" s="1575"/>
      <c r="T17" s="1574"/>
      <c r="U17" s="1575"/>
      <c r="V17" s="1574"/>
      <c r="W17" s="1575"/>
      <c r="X17" s="1568"/>
      <c r="Y17" s="3676"/>
      <c r="Z17" s="1576"/>
      <c r="AA17" s="1577">
        <v>1</v>
      </c>
      <c r="AB17" s="1577">
        <v>1</v>
      </c>
      <c r="AC17" s="1577">
        <v>1</v>
      </c>
    </row>
    <row r="18" spans="1:29" ht="28.5">
      <c r="A18" s="532"/>
      <c r="B18" s="2614"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76"/>
      <c r="Q18" s="2602" t="str">
        <f>B18</f>
        <v>基础设施水平</v>
      </c>
      <c r="R18" s="1574" t="s">
        <v>8</v>
      </c>
      <c r="S18" s="1575">
        <f>F18</f>
        <v>100</v>
      </c>
      <c r="T18" s="1574" t="s">
        <v>8</v>
      </c>
      <c r="U18" s="1575">
        <f>H18</f>
        <v>100</v>
      </c>
      <c r="V18" s="1574" t="s">
        <v>8</v>
      </c>
      <c r="W18" s="1575">
        <f>J18</f>
        <v>100</v>
      </c>
      <c r="X18" s="2604"/>
      <c r="Y18" s="3676"/>
      <c r="Z18" s="2603"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5"/>
      <c r="L19" s="2143"/>
      <c r="M19" s="2135"/>
      <c r="N19" s="2135"/>
      <c r="O19" s="2142"/>
      <c r="P19" s="3676"/>
      <c r="Q19" s="2602"/>
      <c r="R19" s="1574"/>
      <c r="S19" s="1575"/>
      <c r="T19" s="1574"/>
      <c r="U19" s="1575"/>
      <c r="V19" s="1574"/>
      <c r="W19" s="1575"/>
      <c r="X19" s="2604"/>
      <c r="Y19" s="3676"/>
      <c r="Z19" s="2603"/>
      <c r="AA19" s="1577">
        <v>1</v>
      </c>
      <c r="AB19" s="1577">
        <v>1</v>
      </c>
      <c r="AC19" s="1577">
        <v>1</v>
      </c>
    </row>
    <row r="20" spans="1:29" ht="28.5">
      <c r="A20" s="532"/>
      <c r="B20" s="871" t="s">
        <v>805</v>
      </c>
      <c r="C20" s="872" t="str">
        <f>IF(B1="工业",估价对象房地状况!G7,估价对象房地状况!C9)</f>
        <v>1.8公里双鹤湖公园、</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76"/>
      <c r="Q20" s="1573" t="str">
        <f>B20</f>
        <v>自然及人文环境</v>
      </c>
      <c r="R20" s="1574" t="s">
        <v>8</v>
      </c>
      <c r="S20" s="1575">
        <f>F20</f>
        <v>100</v>
      </c>
      <c r="T20" s="1574" t="s">
        <v>8</v>
      </c>
      <c r="U20" s="1575">
        <f>H20</f>
        <v>100</v>
      </c>
      <c r="V20" s="1574" t="s">
        <v>8</v>
      </c>
      <c r="W20" s="1575">
        <f>J20</f>
        <v>100</v>
      </c>
      <c r="X20" s="1568"/>
      <c r="Y20" s="367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676"/>
      <c r="Q21" s="1573"/>
      <c r="R21" s="1574"/>
      <c r="S21" s="1575"/>
      <c r="T21" s="1574"/>
      <c r="U21" s="1575"/>
      <c r="V21" s="1574"/>
      <c r="W21" s="1575"/>
      <c r="X21" s="1568"/>
      <c r="Y21" s="3676"/>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76"/>
      <c r="Q22" s="1573" t="str">
        <f>B22</f>
        <v>楼层</v>
      </c>
      <c r="R22" s="1574" t="s">
        <v>8</v>
      </c>
      <c r="S22" s="1575">
        <f>F22</f>
        <v>100</v>
      </c>
      <c r="T22" s="1574" t="s">
        <v>8</v>
      </c>
      <c r="U22" s="1575">
        <f>H22</f>
        <v>100</v>
      </c>
      <c r="V22" s="1574" t="s">
        <v>8</v>
      </c>
      <c r="W22" s="1575">
        <f>J22</f>
        <v>100</v>
      </c>
      <c r="X22" s="1568"/>
      <c r="Y22" s="367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76"/>
      <c r="Q23" s="1573">
        <f>B23</f>
        <v>111</v>
      </c>
      <c r="R23" s="1574" t="s">
        <v>8</v>
      </c>
      <c r="S23" s="1575">
        <f>F23</f>
        <v>100</v>
      </c>
      <c r="T23" s="1574" t="s">
        <v>8</v>
      </c>
      <c r="U23" s="1575">
        <f>H23</f>
        <v>100</v>
      </c>
      <c r="V23" s="1574" t="s">
        <v>8</v>
      </c>
      <c r="W23" s="1575">
        <f>J23</f>
        <v>100</v>
      </c>
      <c r="X23" s="1568"/>
      <c r="Y23" s="367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76"/>
      <c r="Q24" s="1573">
        <f t="shared" ref="Q24:Q34" si="11">B24</f>
        <v>111</v>
      </c>
      <c r="R24" s="1574" t="s">
        <v>8</v>
      </c>
      <c r="S24" s="1575">
        <f>F24</f>
        <v>100</v>
      </c>
      <c r="T24" s="1574" t="s">
        <v>8</v>
      </c>
      <c r="U24" s="1575">
        <f>H24</f>
        <v>100</v>
      </c>
      <c r="V24" s="1574" t="s">
        <v>8</v>
      </c>
      <c r="W24" s="1575">
        <f>J24</f>
        <v>100</v>
      </c>
      <c r="X24" s="1568"/>
      <c r="Y24" s="367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76"/>
      <c r="Q25" s="1151">
        <f t="shared" si="11"/>
        <v>111</v>
      </c>
      <c r="R25" s="1569" t="s">
        <v>8</v>
      </c>
      <c r="S25" s="1570">
        <f>F25</f>
        <v>100</v>
      </c>
      <c r="T25" s="1569" t="s">
        <v>8</v>
      </c>
      <c r="U25" s="1570">
        <f>H25</f>
        <v>100</v>
      </c>
      <c r="V25" s="1569" t="s">
        <v>8</v>
      </c>
      <c r="W25" s="1570">
        <f>J25</f>
        <v>100</v>
      </c>
      <c r="X25" s="1571"/>
      <c r="Y25" s="3676"/>
      <c r="Z25" s="1150">
        <f>Q25</f>
        <v>111</v>
      </c>
      <c r="AA25" s="1577">
        <f>D25/F25</f>
        <v>1</v>
      </c>
      <c r="AB25" s="1577">
        <f>D25/H25</f>
        <v>1</v>
      </c>
      <c r="AC25" s="1577">
        <f>D25/J25</f>
        <v>1</v>
      </c>
    </row>
    <row r="26" spans="1:29" ht="15">
      <c r="A26" s="2931"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77"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78"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78"/>
      <c r="Q27" s="1606" t="str">
        <f t="shared" si="11"/>
        <v>成新率</v>
      </c>
      <c r="R27" s="1578" t="s">
        <v>8</v>
      </c>
      <c r="S27" s="1579" t="e">
        <f t="shared" si="12"/>
        <v>#N/A</v>
      </c>
      <c r="T27" s="1578" t="s">
        <v>8</v>
      </c>
      <c r="U27" s="1579" t="e">
        <f t="shared" si="13"/>
        <v>#N/A</v>
      </c>
      <c r="V27" s="1578" t="s">
        <v>8</v>
      </c>
      <c r="W27" s="1579" t="e">
        <f t="shared" si="14"/>
        <v>#N/A</v>
      </c>
      <c r="X27" s="1580"/>
      <c r="Y27" s="3678"/>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78"/>
      <c r="Q28" s="1573" t="str">
        <f t="shared" si="11"/>
        <v>物业等级</v>
      </c>
      <c r="R28" s="1574" t="s">
        <v>8</v>
      </c>
      <c r="S28" s="1575">
        <f t="shared" si="12"/>
        <v>100</v>
      </c>
      <c r="T28" s="1574" t="s">
        <v>8</v>
      </c>
      <c r="U28" s="1575">
        <f t="shared" si="13"/>
        <v>100</v>
      </c>
      <c r="V28" s="1574" t="s">
        <v>8</v>
      </c>
      <c r="W28" s="1575">
        <f t="shared" si="14"/>
        <v>100</v>
      </c>
      <c r="X28" s="1568"/>
      <c r="Y28" s="3678"/>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78"/>
      <c r="Q29" s="1573" t="str">
        <f t="shared" si="11"/>
        <v>有无电梯</v>
      </c>
      <c r="R29" s="1574" t="s">
        <v>8</v>
      </c>
      <c r="S29" s="1575">
        <f t="shared" si="12"/>
        <v>100</v>
      </c>
      <c r="T29" s="1574" t="s">
        <v>8</v>
      </c>
      <c r="U29" s="1575">
        <f t="shared" si="13"/>
        <v>100</v>
      </c>
      <c r="V29" s="1574" t="s">
        <v>8</v>
      </c>
      <c r="W29" s="1575">
        <f t="shared" si="14"/>
        <v>100</v>
      </c>
      <c r="X29" s="1568"/>
      <c r="Y29" s="3678"/>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78"/>
      <c r="Q30" s="1573" t="str">
        <f t="shared" si="11"/>
        <v>建筑面积</v>
      </c>
      <c r="R30" s="1574" t="s">
        <v>8</v>
      </c>
      <c r="S30" s="1575" t="e">
        <f t="shared" si="12"/>
        <v>#N/A</v>
      </c>
      <c r="T30" s="1574" t="s">
        <v>8</v>
      </c>
      <c r="U30" s="1575" t="e">
        <f t="shared" si="13"/>
        <v>#N/A</v>
      </c>
      <c r="V30" s="1574" t="s">
        <v>8</v>
      </c>
      <c r="W30" s="1575" t="e">
        <f t="shared" si="14"/>
        <v>#N/A</v>
      </c>
      <c r="X30" s="1568"/>
      <c r="Y30" s="3678"/>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78"/>
      <c r="Q31" s="1151" t="str">
        <f t="shared" si="11"/>
        <v>是否封闭</v>
      </c>
      <c r="R31" s="1569" t="s">
        <v>8</v>
      </c>
      <c r="S31" s="1570">
        <f t="shared" si="12"/>
        <v>100</v>
      </c>
      <c r="T31" s="1569" t="s">
        <v>8</v>
      </c>
      <c r="U31" s="1570">
        <f t="shared" si="13"/>
        <v>100</v>
      </c>
      <c r="V31" s="1569" t="s">
        <v>8</v>
      </c>
      <c r="W31" s="1570">
        <f t="shared" si="14"/>
        <v>100</v>
      </c>
      <c r="X31" s="1571"/>
      <c r="Y31" s="367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78" t="s">
        <v>551</v>
      </c>
      <c r="Q32" s="1573">
        <f t="shared" si="11"/>
        <v>111</v>
      </c>
      <c r="R32" s="1574" t="s">
        <v>8</v>
      </c>
      <c r="S32" s="1575">
        <f t="shared" si="12"/>
        <v>100</v>
      </c>
      <c r="T32" s="1574" t="s">
        <v>8</v>
      </c>
      <c r="U32" s="1575">
        <f t="shared" si="13"/>
        <v>100</v>
      </c>
      <c r="V32" s="1574" t="s">
        <v>8</v>
      </c>
      <c r="W32" s="1575">
        <f t="shared" si="14"/>
        <v>100</v>
      </c>
      <c r="X32" s="1568"/>
      <c r="Y32" s="3678"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78"/>
      <c r="Q33" s="1573">
        <f t="shared" si="11"/>
        <v>111</v>
      </c>
      <c r="R33" s="1574" t="s">
        <v>8</v>
      </c>
      <c r="S33" s="1575">
        <f t="shared" si="12"/>
        <v>100</v>
      </c>
      <c r="T33" s="1574" t="s">
        <v>8</v>
      </c>
      <c r="U33" s="1575">
        <f t="shared" si="13"/>
        <v>100</v>
      </c>
      <c r="V33" s="1574" t="s">
        <v>8</v>
      </c>
      <c r="W33" s="1575">
        <f t="shared" si="14"/>
        <v>100</v>
      </c>
      <c r="X33" s="1568"/>
      <c r="Y33" s="367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78"/>
      <c r="Q34" s="1573">
        <f t="shared" si="11"/>
        <v>111</v>
      </c>
      <c r="R34" s="1574" t="s">
        <v>8</v>
      </c>
      <c r="S34" s="1575">
        <f t="shared" si="12"/>
        <v>100</v>
      </c>
      <c r="T34" s="1574" t="s">
        <v>8</v>
      </c>
      <c r="U34" s="1575">
        <f t="shared" si="13"/>
        <v>100</v>
      </c>
      <c r="V34" s="1574" t="s">
        <v>8</v>
      </c>
      <c r="W34" s="1575">
        <f t="shared" si="14"/>
        <v>100</v>
      </c>
      <c r="X34" s="1568"/>
      <c r="Y34" s="3678"/>
      <c r="Z34" s="1576">
        <f t="shared" si="15"/>
        <v>111</v>
      </c>
      <c r="AA34" s="1577">
        <f t="shared" si="3"/>
        <v>1</v>
      </c>
      <c r="AB34" s="1577">
        <f t="shared" si="4"/>
        <v>1</v>
      </c>
      <c r="AC34" s="1577">
        <f t="shared" si="5"/>
        <v>1</v>
      </c>
    </row>
    <row r="35" spans="1:29" ht="15">
      <c r="A35" s="607" t="s">
        <v>737</v>
      </c>
      <c r="B35" s="887"/>
      <c r="C35" s="2650" t="s">
        <v>1</v>
      </c>
      <c r="D35" s="2651"/>
      <c r="E35" s="2652"/>
      <c r="F35" s="2653"/>
      <c r="G35" s="2654"/>
      <c r="H35" s="2655"/>
      <c r="I35" s="2652"/>
      <c r="J35" s="2655"/>
      <c r="K35" s="1612"/>
      <c r="L35" s="2145"/>
      <c r="M35" s="2146"/>
      <c r="N35" s="2135"/>
      <c r="O35" s="2146"/>
      <c r="P35" s="3673" t="str">
        <f>A35</f>
        <v>成交单价（元/平方米）</v>
      </c>
      <c r="Q35" s="3673"/>
      <c r="R35" s="3773">
        <f>E35</f>
        <v>0</v>
      </c>
      <c r="S35" s="3773"/>
      <c r="T35" s="3773">
        <f>G35</f>
        <v>0</v>
      </c>
      <c r="U35" s="3773"/>
      <c r="V35" s="3773">
        <f>I35</f>
        <v>0</v>
      </c>
      <c r="W35" s="3773"/>
      <c r="X35" s="1560"/>
      <c r="Y35" s="1582"/>
      <c r="Z35" s="1560"/>
      <c r="AA35" s="1560"/>
      <c r="AB35" s="1560"/>
      <c r="AC35" s="1560"/>
    </row>
    <row r="36" spans="1:29" ht="15.75" thickBot="1">
      <c r="A36" s="615" t="s">
        <v>2767</v>
      </c>
      <c r="B36" s="888"/>
      <c r="C36" s="2656" t="e">
        <f>R37</f>
        <v>#DIV/0!</v>
      </c>
      <c r="D36" s="2657"/>
      <c r="E36" s="2658" t="e">
        <f>R36</f>
        <v>#DIV/0!</v>
      </c>
      <c r="F36" s="2658"/>
      <c r="G36" s="2656" t="e">
        <f>T36</f>
        <v>#DIV/0!</v>
      </c>
      <c r="H36" s="2657"/>
      <c r="I36" s="2658" t="e">
        <f>V36</f>
        <v>#DIV/0!</v>
      </c>
      <c r="J36" s="2657"/>
      <c r="K36" s="1613"/>
      <c r="L36" s="2145"/>
      <c r="M36" s="2146"/>
      <c r="N36" s="2135"/>
      <c r="O36" s="2146"/>
      <c r="P36" s="3673" t="str">
        <f>A36</f>
        <v>比较价格（元/平方米）</v>
      </c>
      <c r="Q36" s="3673"/>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1560"/>
      <c r="Y36" s="1560"/>
      <c r="Z36" s="1560"/>
      <c r="AA36" s="1560"/>
      <c r="AB36" s="1560"/>
      <c r="AC36" s="1560"/>
    </row>
    <row r="37" spans="1:29" ht="15.75" thickBot="1">
      <c r="A37" s="621" t="s">
        <v>2942</v>
      </c>
      <c r="B37" s="622"/>
      <c r="C37" s="2659" t="e">
        <f>R37</f>
        <v>#DIV/0!</v>
      </c>
      <c r="D37" s="2659"/>
      <c r="E37" s="2659"/>
      <c r="F37" s="2659"/>
      <c r="G37" s="2659"/>
      <c r="H37" s="2659"/>
      <c r="I37" s="2659"/>
      <c r="J37" s="2659"/>
      <c r="K37" s="1614"/>
      <c r="L37" s="2145"/>
      <c r="M37" s="2146"/>
      <c r="N37" s="2146"/>
      <c r="O37" s="2146"/>
      <c r="P37" s="3694" t="str">
        <f>A37</f>
        <v>估价对象XX用房的比较价格（楼面单价，元/平方米）</v>
      </c>
      <c r="Q37" s="3695"/>
      <c r="R37" s="3772" t="e">
        <f>IF(F1="售价",ROUND(AVERAGE(R36:V36),0),ROUND(AVERAGE(R36:V36),1))</f>
        <v>#DIV/0!</v>
      </c>
      <c r="S37" s="3772"/>
      <c r="T37" s="3772"/>
      <c r="U37" s="3772"/>
      <c r="V37" s="3772"/>
      <c r="W37" s="377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0" t="s">
        <v>2565</v>
      </c>
      <c r="C65" s="2621" t="s">
        <v>2566</v>
      </c>
      <c r="D65" s="2621" t="s">
        <v>2567</v>
      </c>
      <c r="E65" s="2621" t="s">
        <v>2568</v>
      </c>
      <c r="F65" s="2621" t="s">
        <v>2569</v>
      </c>
      <c r="G65" s="2621" t="s">
        <v>2570</v>
      </c>
      <c r="H65" s="674"/>
      <c r="I65" s="674"/>
      <c r="J65" s="674"/>
      <c r="K65" s="674"/>
      <c r="L65" s="674"/>
      <c r="M65" s="2624"/>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35564.06平方米。根据《建设工程规划许可证》[]、《出让合同》[]，估价对象规划建筑面积为83910.81平方米。</v>
      </c>
    </row>
    <row r="7" spans="1:4" ht="56.25">
      <c r="A7" s="1797" t="s">
        <v>2754</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根据《国有土地使用证》[]，估价对象（分摊）出让国有建设用地使用权面积为35564.06平方米。根据《建设工程规划许可证》[]、《出让合同》[]，估价对象规划建筑面积为83910.81平方米。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车库2068年1月26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2307</v>
      </c>
      <c r="C1" s="3782" t="s">
        <v>2308</v>
      </c>
      <c r="D1" s="3783"/>
      <c r="E1" s="3783"/>
      <c r="F1" s="3783"/>
      <c r="G1" s="3783"/>
      <c r="H1" s="3783"/>
      <c r="I1" s="3783"/>
      <c r="J1" s="3783"/>
      <c r="K1" s="3783"/>
      <c r="L1" s="3783"/>
      <c r="M1" s="3783"/>
      <c r="N1" s="3783"/>
      <c r="O1" s="3783"/>
      <c r="P1" s="3783"/>
      <c r="Q1" s="3783"/>
      <c r="R1" s="3783"/>
      <c r="S1" s="3784"/>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79" t="s">
        <v>20</v>
      </c>
      <c r="D22" s="3780"/>
      <c r="E22" s="3780"/>
      <c r="F22" s="3780"/>
      <c r="G22" s="3780"/>
      <c r="H22" s="3780"/>
      <c r="I22" s="3780"/>
      <c r="J22" s="3780"/>
      <c r="K22" s="3780"/>
      <c r="L22" s="3780"/>
      <c r="M22" s="3780"/>
      <c r="N22" s="3780"/>
      <c r="O22" s="3780"/>
      <c r="P22" s="3780"/>
      <c r="Q22" s="3781"/>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43136</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
  <sheetViews>
    <sheetView topLeftCell="A30" zoomScale="85" zoomScaleNormal="85" workbookViewId="0">
      <selection activeCell="G4" sqref="G4"/>
    </sheetView>
  </sheetViews>
  <sheetFormatPr defaultRowHeight="13.5"/>
  <cols>
    <col min="1" max="1" width="35.875" bestFit="1" customWidth="1"/>
    <col min="2" max="2" width="7.125" bestFit="1" customWidth="1"/>
    <col min="3" max="3" width="17.375" bestFit="1" customWidth="1"/>
    <col min="5" max="5" width="5.25" bestFit="1" customWidth="1"/>
    <col min="6" max="6" width="26.625" bestFit="1" customWidth="1"/>
    <col min="8" max="9" width="17.375" bestFit="1" customWidth="1"/>
    <col min="10" max="10" width="11.25" bestFit="1" customWidth="1"/>
    <col min="11" max="12" width="11.625" bestFit="1" customWidth="1"/>
    <col min="13" max="13" width="27.625" bestFit="1" customWidth="1"/>
    <col min="14" max="15" width="13.125" bestFit="1" customWidth="1"/>
    <col min="16" max="16" width="18.5" bestFit="1" customWidth="1"/>
    <col min="17" max="17" width="7.5" bestFit="1" customWidth="1"/>
    <col min="18" max="18" width="17.5" bestFit="1" customWidth="1"/>
  </cols>
  <sheetData>
    <row r="1" spans="1:18" s="3473" customFormat="1">
      <c r="A1" s="3473" t="s">
        <v>3199</v>
      </c>
      <c r="B1" s="3473" t="s">
        <v>3200</v>
      </c>
      <c r="C1" s="3473" t="s">
        <v>3201</v>
      </c>
      <c r="D1" s="3473" t="s">
        <v>3202</v>
      </c>
      <c r="E1" s="3473" t="s">
        <v>3203</v>
      </c>
      <c r="F1" s="3473" t="s">
        <v>3204</v>
      </c>
      <c r="G1" s="3473" t="s">
        <v>3205</v>
      </c>
      <c r="H1" s="3473" t="s">
        <v>3206</v>
      </c>
      <c r="I1" s="3473" t="s">
        <v>3207</v>
      </c>
      <c r="J1" s="3473" t="s">
        <v>2036</v>
      </c>
      <c r="K1" s="3473" t="s">
        <v>3225</v>
      </c>
      <c r="L1" s="3473" t="s">
        <v>3208</v>
      </c>
      <c r="M1" s="3473" t="s">
        <v>3209</v>
      </c>
      <c r="N1" s="3473" t="s">
        <v>3210</v>
      </c>
      <c r="O1" s="3473" t="s">
        <v>3211</v>
      </c>
      <c r="P1" s="3473" t="s">
        <v>3212</v>
      </c>
      <c r="Q1" s="3473" t="s">
        <v>3213</v>
      </c>
      <c r="R1" s="3473" t="s">
        <v>3214</v>
      </c>
    </row>
    <row r="2" spans="1:18" s="3473" customFormat="1">
      <c r="A2" s="3474" t="s">
        <v>3237</v>
      </c>
      <c r="B2" s="3473" t="s">
        <v>3215</v>
      </c>
      <c r="C2" s="3473" t="s">
        <v>3217</v>
      </c>
      <c r="D2" s="3473" t="s">
        <v>3227</v>
      </c>
      <c r="E2" s="3473" t="s">
        <v>2825</v>
      </c>
      <c r="F2" s="3473" t="s">
        <v>3226</v>
      </c>
      <c r="G2" s="3473" t="s">
        <v>3216</v>
      </c>
      <c r="H2" s="3473">
        <v>53766.06</v>
      </c>
      <c r="I2" s="3473">
        <v>134415.20000000001</v>
      </c>
      <c r="J2" s="3473" t="s">
        <v>3228</v>
      </c>
      <c r="K2" s="3473" t="s">
        <v>2825</v>
      </c>
      <c r="L2" s="3473" t="s">
        <v>3229</v>
      </c>
      <c r="M2" s="3473" t="s">
        <v>3229</v>
      </c>
      <c r="N2" s="3473" t="s">
        <v>3230</v>
      </c>
      <c r="O2" s="3473">
        <v>20760</v>
      </c>
      <c r="P2" s="3473">
        <v>39060</v>
      </c>
      <c r="Q2" s="3473">
        <v>2905.92</v>
      </c>
      <c r="R2" s="3473">
        <v>88.15</v>
      </c>
    </row>
    <row r="3" spans="1:18" s="3473" customFormat="1">
      <c r="A3" s="3474" t="s">
        <v>3238</v>
      </c>
      <c r="B3" s="3473" t="s">
        <v>3215</v>
      </c>
      <c r="C3" s="3473" t="s">
        <v>3217</v>
      </c>
      <c r="D3" s="3473" t="s">
        <v>3227</v>
      </c>
      <c r="E3" s="3473" t="s">
        <v>2825</v>
      </c>
      <c r="F3" s="3473" t="s">
        <v>3231</v>
      </c>
      <c r="G3" s="3473" t="s">
        <v>3216</v>
      </c>
      <c r="H3" s="3473">
        <v>36790.15</v>
      </c>
      <c r="I3" s="3473">
        <v>73580.3</v>
      </c>
      <c r="J3" s="3473" t="s">
        <v>3232</v>
      </c>
      <c r="K3" s="3473" t="s">
        <v>2825</v>
      </c>
      <c r="L3" s="3473" t="s">
        <v>3233</v>
      </c>
      <c r="M3" s="3473" t="s">
        <v>3233</v>
      </c>
      <c r="N3" s="3473" t="s">
        <v>3234</v>
      </c>
      <c r="O3" s="3473">
        <v>7506</v>
      </c>
      <c r="P3" s="3473">
        <v>20006</v>
      </c>
      <c r="Q3" s="3473">
        <v>2718.92</v>
      </c>
      <c r="R3" s="3473">
        <v>166.53</v>
      </c>
    </row>
    <row r="4" spans="1:18" s="3473" customFormat="1">
      <c r="A4" s="3474" t="s">
        <v>3239</v>
      </c>
      <c r="B4" s="3473" t="s">
        <v>3215</v>
      </c>
      <c r="C4" s="3473" t="s">
        <v>3217</v>
      </c>
      <c r="D4" s="3473" t="s">
        <v>3227</v>
      </c>
      <c r="E4" s="3473" t="s">
        <v>2825</v>
      </c>
      <c r="F4" s="3473" t="s">
        <v>3235</v>
      </c>
      <c r="G4" s="3473" t="s">
        <v>3216</v>
      </c>
      <c r="H4" s="3473">
        <v>40927.67</v>
      </c>
      <c r="I4" s="3473">
        <v>81855.34</v>
      </c>
      <c r="J4" s="3473" t="s">
        <v>3232</v>
      </c>
      <c r="K4" s="3473" t="s">
        <v>2825</v>
      </c>
      <c r="L4" s="3473" t="s">
        <v>3233</v>
      </c>
      <c r="M4" s="3473" t="s">
        <v>3233</v>
      </c>
      <c r="N4" s="3473" t="s">
        <v>3236</v>
      </c>
      <c r="O4" s="3473">
        <v>8349</v>
      </c>
      <c r="P4" s="3473">
        <v>22299</v>
      </c>
      <c r="Q4" s="3473">
        <v>2724.19</v>
      </c>
      <c r="R4" s="3473">
        <v>167.09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35564.06平方米。根据《建设工程规划许可证》[]、《出让合同》[]，估价对象规划建筑面积为83910.81平方米。</v>
      </c>
    </row>
    <row r="7" spans="1:4" ht="93.75">
      <c r="A7" s="2897"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根据《国有土地使用证》[]，估价对象（分摊）出让国有建设用地使用权面积为35564.06平方米。根据《建设工程规划许可证》[]、《出让合同》[]，估价对象规划建筑面积为83910.81平方米。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899" t="s">
        <v>2756</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6" t="s">
        <v>2042</v>
      </c>
      <c r="B1" s="3496"/>
      <c r="C1" s="3496"/>
      <c r="D1" s="3496"/>
      <c r="E1" s="3496"/>
      <c r="F1" s="3496"/>
      <c r="G1" s="3496"/>
      <c r="H1" s="3496"/>
      <c r="I1" s="3496"/>
      <c r="J1" s="3496"/>
      <c r="K1" s="3496"/>
      <c r="L1" s="3496"/>
      <c r="M1" s="3496"/>
      <c r="N1" s="3496"/>
      <c r="O1" s="3496"/>
      <c r="P1" s="3496"/>
      <c r="Q1" s="3496"/>
      <c r="R1" s="3496"/>
    </row>
    <row r="2" spans="1:18">
      <c r="A2" s="1809" t="s">
        <v>2044</v>
      </c>
      <c r="B2" s="1809"/>
      <c r="C2" s="1809"/>
      <c r="D2" s="1809"/>
      <c r="E2" s="1809"/>
      <c r="F2" s="1809"/>
      <c r="G2" s="1809"/>
      <c r="H2" s="1809"/>
      <c r="I2" s="1810"/>
      <c r="J2" s="1810"/>
      <c r="K2" s="1811" t="str">
        <f>"估价期日："&amp;TEXT(项目基本情况!D3,"yyyy年m月d日;;")</f>
        <v>估价期日：2018年2月5日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7" t="s">
        <v>2033</v>
      </c>
      <c r="B3" s="3497" t="s">
        <v>2738</v>
      </c>
      <c r="C3" s="3498" t="s">
        <v>2034</v>
      </c>
      <c r="D3" s="3497" t="s">
        <v>2742</v>
      </c>
      <c r="E3" s="3500" t="s">
        <v>2035</v>
      </c>
      <c r="F3" s="3500"/>
      <c r="G3" s="3500"/>
      <c r="H3" s="3500" t="s">
        <v>2036</v>
      </c>
      <c r="I3" s="3500"/>
      <c r="J3" s="3500"/>
      <c r="K3" s="3498" t="s">
        <v>2037</v>
      </c>
      <c r="L3" s="3498" t="s">
        <v>2038</v>
      </c>
      <c r="M3" s="3497" t="s">
        <v>2739</v>
      </c>
      <c r="N3" s="3499" t="str">
        <f>"（分摊）"&amp;项目基本情况!B16&amp;"国有建设用地使用权面积/㎡"</f>
        <v>（分摊）出让国有建设用地使用权面积/㎡</v>
      </c>
      <c r="O3" s="3497" t="s">
        <v>2067</v>
      </c>
      <c r="P3" s="3498" t="s">
        <v>2047</v>
      </c>
      <c r="Q3" s="3498" t="s">
        <v>2068</v>
      </c>
      <c r="R3" s="3498" t="s">
        <v>2039</v>
      </c>
    </row>
    <row r="4" spans="1:18" ht="36.75" customHeight="1">
      <c r="A4" s="3497"/>
      <c r="B4" s="3497"/>
      <c r="C4" s="3498"/>
      <c r="D4" s="3497"/>
      <c r="E4" s="2673" t="s">
        <v>2046</v>
      </c>
      <c r="F4" s="2673" t="s">
        <v>2751</v>
      </c>
      <c r="G4" s="2673" t="s">
        <v>2040</v>
      </c>
      <c r="H4" s="2673" t="s">
        <v>2041</v>
      </c>
      <c r="I4" s="2673" t="s">
        <v>2752</v>
      </c>
      <c r="J4" s="2673" t="s">
        <v>2040</v>
      </c>
      <c r="K4" s="3498"/>
      <c r="L4" s="3498"/>
      <c r="M4" s="3497"/>
      <c r="N4" s="3499"/>
      <c r="O4" s="3497"/>
      <c r="P4" s="3498"/>
      <c r="Q4" s="3498"/>
      <c r="R4" s="3498"/>
    </row>
    <row r="5" spans="1:18" ht="135" customHeight="1">
      <c r="A5" s="1944" t="s">
        <v>2662</v>
      </c>
      <c r="B5" s="2891" t="s">
        <v>2660</v>
      </c>
      <c r="C5" s="2672">
        <v>22</v>
      </c>
      <c r="D5" s="2671" t="s">
        <v>2661</v>
      </c>
      <c r="E5" s="1812">
        <f>项目基本情况!B12</f>
        <v>0</v>
      </c>
      <c r="F5" s="2671">
        <v>258</v>
      </c>
      <c r="G5" s="1812">
        <f>项目基本情况!B13</f>
        <v>0</v>
      </c>
      <c r="H5" s="2671">
        <v>1.5</v>
      </c>
      <c r="I5" s="2671">
        <v>1.5</v>
      </c>
      <c r="J5" s="2671">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35564.06</v>
      </c>
      <c r="O5" s="1812">
        <f>项目基本情况!C21</f>
        <v>83910.81</v>
      </c>
      <c r="P5" s="1812">
        <f ca="1">结果表!E42</f>
        <v>6389</v>
      </c>
      <c r="Q5" s="1812">
        <f ca="1">结果表!D42</f>
        <v>2708</v>
      </c>
      <c r="R5" s="1813">
        <f ca="1">结果表!C42</f>
        <v>22721</v>
      </c>
    </row>
    <row r="6" spans="1:18">
      <c r="A6" s="3493" t="str">
        <f>IF(项目基本情况!B9="市场价格","——","抵押价格")</f>
        <v>抵押价格</v>
      </c>
      <c r="B6" s="3494"/>
      <c r="C6" s="3494"/>
      <c r="D6" s="3494"/>
      <c r="E6" s="3494"/>
      <c r="F6" s="3494"/>
      <c r="G6" s="3494"/>
      <c r="H6" s="3494"/>
      <c r="I6" s="3494"/>
      <c r="J6" s="3494"/>
      <c r="K6" s="3494"/>
      <c r="L6" s="3494"/>
      <c r="M6" s="3494"/>
      <c r="N6" s="3494"/>
      <c r="O6" s="3494"/>
      <c r="P6" s="3494"/>
      <c r="Q6" s="3495"/>
      <c r="R6" s="1814" t="str">
        <f>结果表!O39</f>
        <v>——</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814" t="str">
        <f>结果表!O40</f>
        <v>——</v>
      </c>
    </row>
    <row r="8" spans="1:18">
      <c r="A8" s="3493">
        <f>IF(项目基本情况!B9="市场价格","——",项目基本情况!E9)</f>
        <v>0</v>
      </c>
      <c r="B8" s="3494"/>
      <c r="C8" s="3494"/>
      <c r="D8" s="3494"/>
      <c r="E8" s="3494"/>
      <c r="F8" s="3494"/>
      <c r="G8" s="3494"/>
      <c r="H8" s="3494"/>
      <c r="I8" s="3494"/>
      <c r="J8" s="3494"/>
      <c r="K8" s="3494"/>
      <c r="L8" s="3494"/>
      <c r="M8" s="3494"/>
      <c r="N8" s="3494"/>
      <c r="O8" s="3494"/>
      <c r="P8" s="3494"/>
      <c r="Q8" s="3495"/>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1" t="s">
        <v>2069</v>
      </c>
      <c r="B1" s="3501"/>
      <c r="C1" s="3501"/>
      <c r="D1" s="3501"/>
    </row>
    <row r="2" spans="1:4" ht="47.25" customHeight="1">
      <c r="A2" s="3505" t="str">
        <f>"1.权利限制："&amp;项目基本情况!L24&amp;"未设定租赁等其他他项权利。"</f>
        <v>1.权利限制：根据估价对象《不动产权证书》原件、《国有土地使用权》复印件，截至估价期日，估价对象抵押权未见登记。未设定租赁等其他他项权利。</v>
      </c>
      <c r="B2" s="3505"/>
      <c r="C2" s="3505"/>
      <c r="D2" s="3505"/>
    </row>
    <row r="3" spans="1:4" ht="48" customHeight="1">
      <c r="A3" s="35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1"/>
      <c r="C3" s="3501"/>
      <c r="D3" s="3501"/>
    </row>
    <row r="4" spans="1:4" ht="36.75" customHeight="1">
      <c r="A4" s="3501" t="str">
        <f>"3.估价规划限制条件：详见"&amp;项目基本情况!E21&amp;"。"</f>
        <v>3.估价规划限制条件：详见《建设工程规划许可证》[]、《出让合同》[]。</v>
      </c>
      <c r="B4" s="3501"/>
      <c r="C4" s="3501"/>
      <c r="D4" s="3501"/>
    </row>
    <row r="5" spans="1:4">
      <c r="A5" s="3504" t="s">
        <v>2070</v>
      </c>
      <c r="B5" s="3504"/>
      <c r="C5" s="3504"/>
      <c r="D5" s="3504"/>
    </row>
    <row r="6" spans="1:4">
      <c r="A6" s="3501" t="s">
        <v>2048</v>
      </c>
      <c r="B6" s="3501"/>
      <c r="C6" s="3501"/>
      <c r="D6" s="3501"/>
    </row>
    <row r="7" spans="1:4" ht="33" customHeight="1">
      <c r="A7" s="3501" t="s">
        <v>2582</v>
      </c>
      <c r="B7" s="3501"/>
      <c r="C7" s="3501"/>
      <c r="D7" s="3501"/>
    </row>
    <row r="8" spans="1:4" ht="32.25" customHeight="1">
      <c r="A8" s="35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1"/>
      <c r="C8" s="3501"/>
      <c r="D8" s="3501"/>
    </row>
    <row r="9" spans="1:4" ht="33.75" customHeight="1">
      <c r="A9" s="3501" t="str">
        <f>IF(项目基本情况!B8="抵押","3.抵押双方在办理抵押登记手续时，应使用本公司出具的正式《土地估价报告》，特提请报告使用者注意。","——")</f>
        <v>——</v>
      </c>
      <c r="B9" s="3501"/>
      <c r="C9" s="3501"/>
      <c r="D9" s="3501"/>
    </row>
    <row r="10" spans="1:4">
      <c r="A10" s="3501" t="str">
        <f>IF(项目基本情况!B8="抵押","4.估价师所知悉的法定优先受偿款情况为：","——")</f>
        <v>——</v>
      </c>
      <c r="B10" s="3501"/>
      <c r="C10" s="3501"/>
      <c r="D10" s="3501"/>
    </row>
    <row r="11" spans="1:4" ht="37.5" customHeight="1">
      <c r="A11" s="3503" t="str">
        <f>IF(项目基本情况!B8="抵押","（1）"&amp;CONCATENATE(项目基本情况!L24,项目基本情况!L25,项目基本情况!L26),"——")</f>
        <v>——</v>
      </c>
      <c r="B11" s="3503"/>
      <c r="C11" s="3503"/>
      <c r="D11" s="3503"/>
    </row>
    <row r="12" spans="1:4" ht="168" customHeight="1">
      <c r="A12" s="3504" t="s">
        <v>2072</v>
      </c>
      <c r="B12" s="3504"/>
      <c r="C12" s="3504"/>
      <c r="D12" s="3504"/>
    </row>
    <row r="13" spans="1:4">
      <c r="A13" s="3502" t="s">
        <v>2753</v>
      </c>
      <c r="B13" s="3502"/>
      <c r="C13" s="3502"/>
      <c r="D13" s="3502"/>
    </row>
    <row r="14" spans="1:4">
      <c r="A14" s="3503" t="str">
        <f>IF(项目基本情况!B8="抵押","综上，"&amp;结果表!K47,"——")</f>
        <v>——</v>
      </c>
      <c r="B14" s="3503"/>
      <c r="C14" s="3503"/>
      <c r="D14" s="3503"/>
    </row>
    <row r="15" spans="1:4" ht="58.5" customHeight="1">
      <c r="A15" s="35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1"/>
      <c r="C15" s="3501"/>
      <c r="D15" s="3501"/>
    </row>
    <row r="16" spans="1:4" ht="70.5" customHeight="1">
      <c r="A16" s="35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1"/>
      <c r="C16" s="3501"/>
      <c r="D16" s="3501"/>
    </row>
    <row r="17" spans="1:4">
      <c r="A17" s="3501" t="s">
        <v>2709</v>
      </c>
      <c r="B17" s="3501"/>
      <c r="C17" s="3501"/>
      <c r="D17" s="3501"/>
    </row>
    <row r="18" spans="1:4">
      <c r="A18" s="3501" t="s">
        <v>2701</v>
      </c>
      <c r="B18" s="3501"/>
      <c r="C18" s="3501"/>
      <c r="D18" s="3501"/>
    </row>
    <row r="19" spans="1:4">
      <c r="A19" s="2892" t="s">
        <v>2702</v>
      </c>
      <c r="B19" s="2892" t="s">
        <v>2703</v>
      </c>
      <c r="C19" s="2892" t="s">
        <v>2704</v>
      </c>
      <c r="D19" s="2892" t="s">
        <v>2705</v>
      </c>
    </row>
    <row r="20" spans="1:4">
      <c r="A20" s="2892" t="str">
        <f>项目基本情况!B4</f>
        <v>土地估价师</v>
      </c>
      <c r="B20" s="2892">
        <f>项目基本情况!C4</f>
        <v>0</v>
      </c>
      <c r="C20" s="2894"/>
      <c r="D20" s="1802" t="s">
        <v>2710</v>
      </c>
    </row>
    <row r="21" spans="1:4">
      <c r="A21" s="2892" t="str">
        <f>项目基本情况!D4</f>
        <v>土地估价师</v>
      </c>
      <c r="B21" s="2892">
        <f>项目基本情况!E4</f>
        <v>0</v>
      </c>
      <c r="C21" s="2894"/>
      <c r="D21" s="1802" t="s">
        <v>2711</v>
      </c>
    </row>
    <row r="23" spans="1:4">
      <c r="A23" s="3501" t="s">
        <v>2706</v>
      </c>
      <c r="B23" s="3501"/>
      <c r="C23" s="3501"/>
      <c r="D23" s="3501"/>
    </row>
    <row r="24" spans="1:4">
      <c r="A24" s="2892" t="s">
        <v>2702</v>
      </c>
      <c r="B24" s="2892" t="s">
        <v>2707</v>
      </c>
      <c r="C24" s="2892" t="s">
        <v>2704</v>
      </c>
      <c r="D24" s="2892" t="s">
        <v>2705</v>
      </c>
    </row>
    <row r="25" spans="1:4">
      <c r="A25" s="2895" t="s">
        <v>2708</v>
      </c>
      <c r="B25" s="2892" t="s">
        <v>953</v>
      </c>
      <c r="C25" s="2894"/>
      <c r="D25" s="1802" t="s">
        <v>2711</v>
      </c>
    </row>
    <row r="29" spans="1:4">
      <c r="D29" s="2893" t="s">
        <v>2043</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3" t="s">
        <v>53</v>
      </c>
      <c r="B15" s="3514" t="s">
        <v>847</v>
      </c>
      <c r="C15" s="3510"/>
    </row>
    <row r="16" spans="1:7" ht="14.25">
      <c r="A16" s="3513"/>
      <c r="B16" s="3511" t="s">
        <v>54</v>
      </c>
      <c r="C16" s="1172" t="s">
        <v>53</v>
      </c>
    </row>
    <row r="17" spans="1:3" ht="14.25">
      <c r="A17" s="3513"/>
      <c r="B17" s="3511"/>
      <c r="C17" s="1172" t="s">
        <v>55</v>
      </c>
    </row>
    <row r="18" spans="1:3" ht="14.25">
      <c r="A18" s="3513"/>
      <c r="B18" s="3511"/>
      <c r="C18" s="1172" t="s">
        <v>56</v>
      </c>
    </row>
    <row r="19" spans="1:3" ht="14.25">
      <c r="A19" s="3513"/>
      <c r="B19" s="3509" t="s">
        <v>57</v>
      </c>
      <c r="C19" s="3510"/>
    </row>
    <row r="20" spans="1:3" ht="14.25">
      <c r="A20" s="1173" t="s">
        <v>58</v>
      </c>
      <c r="B20" s="1174"/>
      <c r="C20" s="1175"/>
    </row>
    <row r="21" spans="1:3" ht="14.25">
      <c r="A21" s="3512" t="s">
        <v>59</v>
      </c>
      <c r="B21" s="3509" t="s">
        <v>60</v>
      </c>
      <c r="C21" s="3510"/>
    </row>
    <row r="22" spans="1:3" ht="14.25">
      <c r="A22" s="3512"/>
      <c r="B22" s="3509" t="s">
        <v>61</v>
      </c>
      <c r="C22" s="3510"/>
    </row>
    <row r="23" spans="1:3" ht="14.25">
      <c r="A23" s="3512"/>
      <c r="B23" s="3509" t="s">
        <v>62</v>
      </c>
      <c r="C23" s="3510"/>
    </row>
    <row r="24" spans="1:3" ht="14.25">
      <c r="A24" s="3512"/>
      <c r="B24" s="3515" t="s">
        <v>63</v>
      </c>
      <c r="C24" s="1176" t="s">
        <v>838</v>
      </c>
    </row>
    <row r="25" spans="1:3" ht="14.25">
      <c r="A25" s="3512"/>
      <c r="B25" s="3516"/>
      <c r="C25" s="1176" t="s">
        <v>839</v>
      </c>
    </row>
    <row r="26" spans="1:3" ht="14.25">
      <c r="A26" s="3512"/>
      <c r="B26" s="3516"/>
      <c r="C26" s="1176" t="s">
        <v>840</v>
      </c>
    </row>
    <row r="27" spans="1:3" ht="14.25">
      <c r="A27" s="3512"/>
      <c r="B27" s="3516"/>
      <c r="C27" s="1176" t="s">
        <v>841</v>
      </c>
    </row>
    <row r="28" spans="1:3" ht="14.25">
      <c r="A28" s="3512"/>
      <c r="B28" s="3516"/>
      <c r="C28" s="1176" t="s">
        <v>842</v>
      </c>
    </row>
    <row r="29" spans="1:3" ht="14.25">
      <c r="A29" s="3512"/>
      <c r="B29" s="3516"/>
      <c r="C29" s="1176" t="s">
        <v>843</v>
      </c>
    </row>
    <row r="30" spans="1:3" ht="14.25">
      <c r="A30" s="3512"/>
      <c r="B30" s="3516"/>
      <c r="C30" s="1176" t="s">
        <v>844</v>
      </c>
    </row>
    <row r="31" spans="1:3" ht="14.25">
      <c r="A31" s="3512"/>
      <c r="B31" s="3516"/>
      <c r="C31" s="1176" t="s">
        <v>845</v>
      </c>
    </row>
    <row r="32" spans="1:3" ht="14.25">
      <c r="A32" s="3512"/>
      <c r="B32" s="3516"/>
      <c r="C32" s="1176" t="s">
        <v>1648</v>
      </c>
    </row>
    <row r="33" spans="1:3" ht="14.25">
      <c r="A33" s="3512"/>
      <c r="B33" s="3506" t="s">
        <v>1654</v>
      </c>
      <c r="C33" s="1176" t="s">
        <v>1649</v>
      </c>
    </row>
    <row r="34" spans="1:3" ht="14.25">
      <c r="A34" s="3512"/>
      <c r="B34" s="3507"/>
      <c r="C34" s="1181" t="s">
        <v>1650</v>
      </c>
    </row>
    <row r="35" spans="1:3" ht="14.25">
      <c r="A35" s="3512"/>
      <c r="B35" s="3507"/>
      <c r="C35" s="1182" t="s">
        <v>1651</v>
      </c>
    </row>
    <row r="36" spans="1:3" ht="14.25">
      <c r="A36" s="3512"/>
      <c r="B36" s="3507"/>
      <c r="C36" s="1182" t="s">
        <v>1652</v>
      </c>
    </row>
    <row r="37" spans="1:3" ht="14.25">
      <c r="A37" s="3512"/>
      <c r="B37" s="3508"/>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43140</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0">
        <v>43849</v>
      </c>
      <c r="D4" s="2344" t="s">
        <v>1916</v>
      </c>
      <c r="E4" s="2344">
        <f ca="1">IF(F4&lt;B2,"已过期",96010014)</f>
        <v>96010014</v>
      </c>
      <c r="F4" s="3031">
        <v>47118</v>
      </c>
    </row>
    <row r="5" spans="1:6" ht="20.25" customHeight="1">
      <c r="A5" s="2344" t="s">
        <v>1917</v>
      </c>
      <c r="B5" s="2344">
        <f ca="1">IF(C5&lt;B2,"已过期",1119970074)</f>
        <v>1119970074</v>
      </c>
      <c r="C5" s="3030">
        <v>43849</v>
      </c>
      <c r="D5" s="2344" t="s">
        <v>1917</v>
      </c>
      <c r="E5" s="2344">
        <f ca="1">IF(F5&lt;B2,"已过期",2002110027)</f>
        <v>2002110027</v>
      </c>
      <c r="F5" s="3031">
        <v>46752</v>
      </c>
    </row>
    <row r="6" spans="1:6" ht="20.25" customHeight="1">
      <c r="A6" s="2344" t="s">
        <v>1918</v>
      </c>
      <c r="B6" s="2344">
        <f ca="1">IF(C6&lt;B2,"已过期",1119970111)</f>
        <v>1119970111</v>
      </c>
      <c r="C6" s="3030">
        <v>43849</v>
      </c>
      <c r="D6" s="2344" t="s">
        <v>1918</v>
      </c>
      <c r="E6" s="2344">
        <f ca="1">IF(F6&lt;B2,"已过期",94010078)</f>
        <v>94010078</v>
      </c>
      <c r="F6" s="3031">
        <v>46387</v>
      </c>
    </row>
    <row r="7" spans="1:6" ht="20.25" customHeight="1">
      <c r="A7" s="2344" t="s">
        <v>1919</v>
      </c>
      <c r="B7" s="2344">
        <f ca="1">IF(C7&lt;B2,"已过期",1120050019)</f>
        <v>1120050019</v>
      </c>
      <c r="C7" s="3030">
        <v>43359</v>
      </c>
      <c r="D7" s="2344" t="s">
        <v>1919</v>
      </c>
      <c r="E7" s="2344">
        <f ca="1">IF(F7&lt;B2,"已过期",2002110030)</f>
        <v>2002110030</v>
      </c>
      <c r="F7" s="3031">
        <v>46387</v>
      </c>
    </row>
    <row r="8" spans="1:6" ht="20.25" customHeight="1">
      <c r="A8" s="2344" t="s">
        <v>1920</v>
      </c>
      <c r="B8" s="2344">
        <f ca="1">IF(C8&lt;B2,"已过期",1120000080)</f>
        <v>1120000080</v>
      </c>
      <c r="C8" s="3030">
        <v>43849</v>
      </c>
      <c r="D8" s="2344" t="s">
        <v>1920</v>
      </c>
      <c r="E8" s="2344">
        <f ca="1">IF(F8&lt;B2,"已过期",2000110082)</f>
        <v>2000110082</v>
      </c>
      <c r="F8" s="3031">
        <v>46387</v>
      </c>
    </row>
    <row r="9" spans="1:6" ht="20.25" customHeight="1">
      <c r="A9" s="2344" t="s">
        <v>1921</v>
      </c>
      <c r="B9" s="2344">
        <f ca="1">IF(C9&lt;B2,"已过期",1419970001)</f>
        <v>1419970001</v>
      </c>
      <c r="C9" s="3030">
        <v>43867</v>
      </c>
      <c r="D9" s="2344" t="s">
        <v>1921</v>
      </c>
      <c r="E9" s="2344">
        <f ca="1">IF(F9&lt;B2,"已过期",2002110125)</f>
        <v>2002110125</v>
      </c>
      <c r="F9" s="3031">
        <v>47118</v>
      </c>
    </row>
    <row r="10" spans="1:6" ht="20.25" customHeight="1">
      <c r="A10" s="2344" t="s">
        <v>1922</v>
      </c>
      <c r="B10" s="2344">
        <f ca="1">IF(C10&lt;B2,"已过期",1120060040)</f>
        <v>1120060040</v>
      </c>
      <c r="C10" s="3030">
        <v>43483</v>
      </c>
      <c r="D10" s="2344" t="s">
        <v>1922</v>
      </c>
      <c r="E10" s="2344">
        <f ca="1">IF(F10&lt;B2,"已过期",2004110096)</f>
        <v>2004110096</v>
      </c>
      <c r="F10" s="3031">
        <v>47118</v>
      </c>
    </row>
    <row r="11" spans="1:6" ht="20.25" customHeight="1">
      <c r="A11" s="2344" t="s">
        <v>1923</v>
      </c>
      <c r="B11" s="2344">
        <f ca="1">IF(C11&lt;B2,"已过期",1120100036)</f>
        <v>1120100036</v>
      </c>
      <c r="C11" s="3030">
        <v>43622</v>
      </c>
      <c r="D11" s="2344" t="s">
        <v>1923</v>
      </c>
      <c r="E11" s="2344">
        <f ca="1">IF(F11&lt;B2,"已过期",2010110070)</f>
        <v>2010110070</v>
      </c>
      <c r="F11" s="3031">
        <v>47907</v>
      </c>
    </row>
    <row r="12" spans="1:6" ht="20.25" customHeight="1">
      <c r="A12" s="2344"/>
      <c r="B12" s="2344"/>
      <c r="C12" s="3030"/>
      <c r="D12" s="2344"/>
      <c r="E12" s="2344"/>
      <c r="F12" s="2344"/>
    </row>
    <row r="13" spans="1:6" ht="20.25" customHeight="1">
      <c r="A13" s="2344" t="s">
        <v>1924</v>
      </c>
      <c r="B13" s="2344">
        <f ca="1">IF(C13&lt;B2,"已过期",1120070131)</f>
        <v>1120070131</v>
      </c>
      <c r="C13" s="3030">
        <v>43814</v>
      </c>
      <c r="D13" s="2344" t="s">
        <v>1924</v>
      </c>
      <c r="E13" s="2344">
        <v>2014110011</v>
      </c>
      <c r="F13" s="3031">
        <v>49302</v>
      </c>
    </row>
    <row r="14" spans="1:6" ht="20.25" customHeight="1">
      <c r="A14" s="2344" t="s">
        <v>1925</v>
      </c>
      <c r="B14" s="2344">
        <f ca="1">IF(C14&lt;B2,"已过期",1120130020)</f>
        <v>1120130020</v>
      </c>
      <c r="C14" s="3030">
        <v>43622</v>
      </c>
      <c r="D14" s="2344"/>
      <c r="E14" s="2344"/>
      <c r="F14" s="2344"/>
    </row>
    <row r="15" spans="1:6" ht="20.25" customHeight="1">
      <c r="A15" s="2344" t="s">
        <v>2581</v>
      </c>
      <c r="B15" s="2344">
        <v>1120070085</v>
      </c>
      <c r="C15" s="3030">
        <v>43814</v>
      </c>
      <c r="D15" s="2344" t="s">
        <v>2581</v>
      </c>
      <c r="E15" s="2344">
        <v>2004110128</v>
      </c>
      <c r="F15" s="3031">
        <v>47118</v>
      </c>
    </row>
    <row r="16" spans="1:6" ht="20.25" customHeight="1">
      <c r="A16" s="2344" t="s">
        <v>1926</v>
      </c>
      <c r="B16" s="2344">
        <f ca="1">IF(C16&lt;B2,"已过期",1120140022)</f>
        <v>1120140022</v>
      </c>
      <c r="C16" s="3030">
        <v>44029</v>
      </c>
      <c r="D16" s="2344" t="s">
        <v>1926</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1927</v>
      </c>
      <c r="E21" s="2344">
        <f ca="1">IF(F21&lt;B2,"已过期",2011110090)</f>
        <v>2011110090</v>
      </c>
      <c r="F21" s="3031">
        <v>48302</v>
      </c>
    </row>
    <row r="22" spans="1:7" ht="20.25" customHeight="1">
      <c r="A22" s="2344" t="s">
        <v>1928</v>
      </c>
      <c r="B22" s="2344">
        <f ca="1">IF(C22&lt;B2,"已过期",1120020033)</f>
        <v>1120020033</v>
      </c>
      <c r="C22" s="3030">
        <v>43304</v>
      </c>
      <c r="D22" s="2344" t="s">
        <v>1928</v>
      </c>
      <c r="E22" s="2344">
        <f ca="1">IF(F22&lt;B2,"已过期",2000110137)</f>
        <v>2000110137</v>
      </c>
      <c r="F22" s="3031">
        <v>46387</v>
      </c>
    </row>
    <row r="23" spans="1:7" ht="20.25" customHeight="1">
      <c r="A23" s="2344" t="s">
        <v>1929</v>
      </c>
      <c r="B23" s="2344">
        <f ca="1">IF(C23&lt;B2,"已过期",1120130048)</f>
        <v>1120130048</v>
      </c>
      <c r="C23" s="3030">
        <v>43686</v>
      </c>
      <c r="D23" s="2344"/>
      <c r="E23" s="2344"/>
      <c r="F23" s="2344"/>
    </row>
    <row r="24" spans="1:7" s="2348" customFormat="1" ht="20.25" customHeight="1">
      <c r="A24" s="2346" t="s">
        <v>2057</v>
      </c>
      <c r="B24" s="2346" t="s">
        <v>2057</v>
      </c>
      <c r="C24" s="3030"/>
      <c r="D24" s="3032" t="s">
        <v>2057</v>
      </c>
      <c r="E24" s="2346" t="s">
        <v>2057</v>
      </c>
      <c r="F24" s="2347"/>
    </row>
    <row r="25" spans="1:7" ht="20.25" customHeight="1">
      <c r="A25" s="3517" t="s">
        <v>1930</v>
      </c>
      <c r="B25" s="3517"/>
      <c r="C25" s="3517"/>
      <c r="D25" s="3517"/>
      <c r="E25" s="3517"/>
      <c r="F25" s="3517"/>
      <c r="G25" s="3517"/>
    </row>
    <row r="26" spans="1:7" ht="20.25" customHeight="1">
      <c r="A26" s="3518" t="s">
        <v>1931</v>
      </c>
      <c r="B26" s="3518"/>
      <c r="C26" s="3518"/>
      <c r="D26" s="3518" t="s">
        <v>1932</v>
      </c>
      <c r="E26" s="3518"/>
      <c r="F26" s="3518"/>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剩余法-现房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2018-02-09T01:34:53Z</cp:lastPrinted>
  <dcterms:created xsi:type="dcterms:W3CDTF">2015-07-13T07:17:23Z</dcterms:created>
  <dcterms:modified xsi:type="dcterms:W3CDTF">2018-02-09T04:46:36Z</dcterms:modified>
</cp:coreProperties>
</file>