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82" l="1"/>
  <c r="I38" i="82" l="1"/>
  <c r="G38" i="82"/>
  <c r="F30" i="31" l="1"/>
  <c r="F28" i="31"/>
  <c r="F29" i="31" s="1"/>
  <c r="F31" i="31" s="1"/>
  <c r="F32" i="31" s="1"/>
  <c r="F33" i="31" s="1"/>
  <c r="F34" i="31" s="1"/>
  <c r="F35" i="31" s="1"/>
  <c r="F27" i="31"/>
  <c r="F26" i="31"/>
  <c r="D35" i="31"/>
  <c r="D34" i="31"/>
  <c r="D33" i="31"/>
  <c r="D32" i="31"/>
  <c r="D31" i="31"/>
  <c r="D30" i="31"/>
  <c r="D29" i="31"/>
  <c r="D26" i="31"/>
  <c r="D27" i="31" s="1"/>
  <c r="E37" i="83"/>
  <c r="I37" i="83" s="1"/>
  <c r="B131" i="83"/>
  <c r="J47" i="83" s="1"/>
  <c r="AC47" i="83" s="1"/>
  <c r="B129" i="83"/>
  <c r="B127" i="83"/>
  <c r="J45" i="83" s="1"/>
  <c r="AC45" i="83" s="1"/>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H31" i="83" s="1"/>
  <c r="AB31" i="83" s="1"/>
  <c r="B95" i="83"/>
  <c r="J30" i="83" s="1"/>
  <c r="AC30" i="83" s="1"/>
  <c r="B93" i="83"/>
  <c r="D92" i="83"/>
  <c r="E92" i="83" s="1"/>
  <c r="F92" i="83" s="1"/>
  <c r="G92" i="83" s="1"/>
  <c r="H92" i="83" s="1"/>
  <c r="I92" i="83" s="1"/>
  <c r="J92" i="83" s="1"/>
  <c r="K92" i="83" s="1"/>
  <c r="L92" i="83" s="1"/>
  <c r="M92" i="83" s="1"/>
  <c r="B91" i="83"/>
  <c r="J28" i="83" s="1"/>
  <c r="AC28" i="83" s="1"/>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D80" i="83"/>
  <c r="F17" i="83" s="1"/>
  <c r="AA17" i="83" s="1"/>
  <c r="E78" i="83"/>
  <c r="F78" i="83" s="1"/>
  <c r="G78" i="83" s="1"/>
  <c r="D78" i="83"/>
  <c r="B75" i="83"/>
  <c r="B73" i="83"/>
  <c r="F13" i="83" s="1"/>
  <c r="AA13" i="83" s="1"/>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H47" i="83"/>
  <c r="AB47" i="83" s="1"/>
  <c r="F47" i="83"/>
  <c r="AA47" i="83" s="1"/>
  <c r="Q46" i="83"/>
  <c r="Z46" i="83" s="1"/>
  <c r="J46" i="83"/>
  <c r="AC46" i="83" s="1"/>
  <c r="H46" i="83"/>
  <c r="AB46" i="83" s="1"/>
  <c r="F46" i="83"/>
  <c r="AA46" i="83" s="1"/>
  <c r="Q45" i="83"/>
  <c r="Z45" i="83" s="1"/>
  <c r="H45" i="83"/>
  <c r="AB45" i="83" s="1"/>
  <c r="F45" i="83"/>
  <c r="S45" i="83" s="1"/>
  <c r="Q44" i="83"/>
  <c r="Z44" i="83" s="1"/>
  <c r="J44" i="83"/>
  <c r="AC44" i="83" s="1"/>
  <c r="H44" i="83"/>
  <c r="AB44" i="83" s="1"/>
  <c r="F44" i="83"/>
  <c r="AA44" i="83" s="1"/>
  <c r="Q43" i="83"/>
  <c r="Z43" i="83" s="1"/>
  <c r="I43" i="83"/>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J23" i="83"/>
  <c r="W23" i="83" s="1"/>
  <c r="H23" i="83"/>
  <c r="AB23" i="83" s="1"/>
  <c r="F23" i="83"/>
  <c r="AA23" i="83" s="1"/>
  <c r="C23" i="83"/>
  <c r="Q21" i="83"/>
  <c r="Z21" i="83" s="1"/>
  <c r="J21" i="83"/>
  <c r="AC21" i="83" s="1"/>
  <c r="H21" i="83"/>
  <c r="AB21" i="83" s="1"/>
  <c r="F21" i="83"/>
  <c r="AA21" i="83" s="1"/>
  <c r="C21" i="83"/>
  <c r="Q19" i="83"/>
  <c r="Z19" i="83" s="1"/>
  <c r="C19" i="83"/>
  <c r="Q17" i="83"/>
  <c r="Z17" i="83" s="1"/>
  <c r="J17" i="83"/>
  <c r="AC17" i="83" s="1"/>
  <c r="H17" i="83"/>
  <c r="AB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J47" i="82" s="1"/>
  <c r="AC47" i="82" s="1"/>
  <c r="B129" i="82"/>
  <c r="J46" i="82" s="1"/>
  <c r="AC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J31" i="82" s="1"/>
  <c r="AC31" i="82" s="1"/>
  <c r="B95" i="82"/>
  <c r="J30" i="82" s="1"/>
  <c r="AC30" i="82" s="1"/>
  <c r="B93" i="82"/>
  <c r="D92" i="82"/>
  <c r="E92" i="82" s="1"/>
  <c r="F92" i="82" s="1"/>
  <c r="G92" i="82" s="1"/>
  <c r="H92" i="82" s="1"/>
  <c r="I92" i="82" s="1"/>
  <c r="J92" i="82" s="1"/>
  <c r="K92" i="82" s="1"/>
  <c r="L92" i="82" s="1"/>
  <c r="M92" i="82" s="1"/>
  <c r="B91" i="82"/>
  <c r="J28" i="82" s="1"/>
  <c r="AC28" i="82" s="1"/>
  <c r="E90" i="82"/>
  <c r="F90" i="82" s="1"/>
  <c r="G90" i="82" s="1"/>
  <c r="H90" i="82" s="1"/>
  <c r="I90" i="82" s="1"/>
  <c r="J90" i="82" s="1"/>
  <c r="K90" i="82" s="1"/>
  <c r="L90" i="82" s="1"/>
  <c r="M90" i="82" s="1"/>
  <c r="D90" i="82"/>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J12" i="82" s="1"/>
  <c r="AC12" i="82" s="1"/>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F47" i="82"/>
  <c r="AA47" i="82" s="1"/>
  <c r="Q46" i="82"/>
  <c r="Z46" i="82" s="1"/>
  <c r="Q45" i="82"/>
  <c r="Z45" i="82" s="1"/>
  <c r="J45" i="82"/>
  <c r="AC45" i="82" s="1"/>
  <c r="H45" i="82"/>
  <c r="AB45" i="82" s="1"/>
  <c r="F45" i="82"/>
  <c r="AA45" i="82" s="1"/>
  <c r="Q44" i="82"/>
  <c r="Z44" i="82" s="1"/>
  <c r="J44" i="82"/>
  <c r="AC44" i="82" s="1"/>
  <c r="H44" i="82"/>
  <c r="AB44" i="82" s="1"/>
  <c r="F44" i="82"/>
  <c r="AA44" i="82" s="1"/>
  <c r="Q43" i="82"/>
  <c r="Z43" i="82" s="1"/>
  <c r="G43" i="82"/>
  <c r="F43" i="82"/>
  <c r="AA43" i="82" s="1"/>
  <c r="Q42" i="82"/>
  <c r="Z42" i="82" s="1"/>
  <c r="I42" i="82"/>
  <c r="E42" i="82"/>
  <c r="Q41" i="82"/>
  <c r="Z41" i="82" s="1"/>
  <c r="I41" i="82"/>
  <c r="Q40" i="82"/>
  <c r="Z40" i="82" s="1"/>
  <c r="G40" i="82"/>
  <c r="I40" i="82" s="1"/>
  <c r="Q39" i="82"/>
  <c r="Z39" i="82" s="1"/>
  <c r="I39" i="82"/>
  <c r="J39" i="82" s="1"/>
  <c r="G39" i="82"/>
  <c r="H39" i="82" s="1"/>
  <c r="F39" i="82"/>
  <c r="AA39" i="82" s="1"/>
  <c r="Q38" i="82"/>
  <c r="Z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F31" i="82"/>
  <c r="AA31" i="82" s="1"/>
  <c r="Q30" i="82"/>
  <c r="Z30" i="82" s="1"/>
  <c r="Q29" i="82"/>
  <c r="Z29" i="82" s="1"/>
  <c r="J29" i="82"/>
  <c r="AC29" i="82" s="1"/>
  <c r="H29" i="82"/>
  <c r="AB29" i="82" s="1"/>
  <c r="F29" i="82"/>
  <c r="AA29" i="82" s="1"/>
  <c r="Q28" i="82"/>
  <c r="Z28" i="82" s="1"/>
  <c r="F28" i="82"/>
  <c r="AA28" i="82" s="1"/>
  <c r="Q27" i="82"/>
  <c r="Z27" i="82" s="1"/>
  <c r="F27" i="82"/>
  <c r="AA27" i="82" s="1"/>
  <c r="G26" i="82"/>
  <c r="I26" i="82" s="1"/>
  <c r="J25" i="82" s="1"/>
  <c r="Q25" i="82"/>
  <c r="Z25" i="82" s="1"/>
  <c r="F25" i="82"/>
  <c r="AA25" i="82" s="1"/>
  <c r="Q23" i="82"/>
  <c r="Z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C17" i="82"/>
  <c r="I16" i="82"/>
  <c r="G16" i="82"/>
  <c r="H15" i="82" s="1"/>
  <c r="AB15" i="82" s="1"/>
  <c r="Q15" i="82"/>
  <c r="Z15" i="82" s="1"/>
  <c r="C15" i="82"/>
  <c r="Q14" i="82"/>
  <c r="Z14" i="82" s="1"/>
  <c r="J14" i="82"/>
  <c r="AC14" i="82" s="1"/>
  <c r="H14" i="82"/>
  <c r="AB14" i="82" s="1"/>
  <c r="F14" i="82"/>
  <c r="AA14" i="82" s="1"/>
  <c r="Q13" i="82"/>
  <c r="Z13" i="82" s="1"/>
  <c r="J13" i="82"/>
  <c r="AC13" i="82" s="1"/>
  <c r="H13" i="82"/>
  <c r="AB13" i="82" s="1"/>
  <c r="F13" i="82"/>
  <c r="AA13" i="82" s="1"/>
  <c r="Q12" i="82"/>
  <c r="Z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G5" i="82"/>
  <c r="I5" i="82" s="1"/>
  <c r="P23" i="81"/>
  <c r="E37" i="82" s="1"/>
  <c r="I37" i="82" s="1"/>
  <c r="D2" i="82"/>
  <c r="D2" i="83"/>
  <c r="F40" i="82" l="1"/>
  <c r="AA40" i="82" s="1"/>
  <c r="J40" i="82"/>
  <c r="F109" i="82"/>
  <c r="G109" i="82" s="1"/>
  <c r="H109" i="82" s="1"/>
  <c r="I109" i="82" s="1"/>
  <c r="J109" i="82" s="1"/>
  <c r="K109" i="82" s="1"/>
  <c r="L109" i="82" s="1"/>
  <c r="M109" i="82" s="1"/>
  <c r="H36" i="82"/>
  <c r="AB36" i="82" s="1"/>
  <c r="F36" i="82"/>
  <c r="AA36" i="82" s="1"/>
  <c r="J36" i="82"/>
  <c r="AC36" i="82" s="1"/>
  <c r="F88" i="83"/>
  <c r="G88" i="83" s="1"/>
  <c r="H88" i="83" s="1"/>
  <c r="I88" i="83" s="1"/>
  <c r="J88" i="83" s="1"/>
  <c r="K88" i="83" s="1"/>
  <c r="L88" i="83" s="1"/>
  <c r="M88" i="83" s="1"/>
  <c r="F25" i="83"/>
  <c r="AA25" i="83" s="1"/>
  <c r="G114" i="83"/>
  <c r="H114" i="83" s="1"/>
  <c r="I114" i="83" s="1"/>
  <c r="J114" i="83" s="1"/>
  <c r="K114" i="83" s="1"/>
  <c r="L114" i="83" s="1"/>
  <c r="M114" i="83" s="1"/>
  <c r="F38" i="83"/>
  <c r="AA38" i="83" s="1"/>
  <c r="J38" i="83"/>
  <c r="AC38" i="83" s="1"/>
  <c r="H38" i="83"/>
  <c r="AB38" i="83" s="1"/>
  <c r="F15" i="82"/>
  <c r="AA15" i="82" s="1"/>
  <c r="J15" i="82"/>
  <c r="AC15" i="82" s="1"/>
  <c r="F46" i="82"/>
  <c r="AA46" i="82" s="1"/>
  <c r="F23" i="82"/>
  <c r="AA23" i="82" s="1"/>
  <c r="F30" i="82"/>
  <c r="AA30" i="82" s="1"/>
  <c r="J25" i="83"/>
  <c r="H28" i="83"/>
  <c r="AB28" i="83" s="1"/>
  <c r="H30" i="83"/>
  <c r="H23" i="82"/>
  <c r="AB23" i="82" s="1"/>
  <c r="H25" i="82"/>
  <c r="AB25" i="82" s="1"/>
  <c r="H27" i="82"/>
  <c r="AB27" i="82" s="1"/>
  <c r="H28" i="82"/>
  <c r="AB28" i="82" s="1"/>
  <c r="H30" i="82"/>
  <c r="AB30" i="82" s="1"/>
  <c r="H31" i="82"/>
  <c r="AB31" i="82" s="1"/>
  <c r="J38" i="82"/>
  <c r="AC38" i="82" s="1"/>
  <c r="H43" i="82"/>
  <c r="U43" i="82" s="1"/>
  <c r="H46" i="82"/>
  <c r="AB46" i="82" s="1"/>
  <c r="H47" i="82"/>
  <c r="AB47" i="82" s="1"/>
  <c r="W27" i="83"/>
  <c r="F31" i="83"/>
  <c r="AA31" i="83" s="1"/>
  <c r="W31" i="83"/>
  <c r="H36" i="83"/>
  <c r="AB36" i="83" s="1"/>
  <c r="H40" i="83"/>
  <c r="AB40" i="83" s="1"/>
  <c r="J43" i="83"/>
  <c r="E80" i="83"/>
  <c r="F80" i="83" s="1"/>
  <c r="G80" i="83" s="1"/>
  <c r="J12" i="83"/>
  <c r="AC12" i="83" s="1"/>
  <c r="F17" i="82"/>
  <c r="AA17" i="82" s="1"/>
  <c r="J23" i="82"/>
  <c r="W23" i="82" s="1"/>
  <c r="J27" i="82"/>
  <c r="AC27" i="82" s="1"/>
  <c r="F41" i="82"/>
  <c r="AA41" i="82" s="1"/>
  <c r="J43" i="82"/>
  <c r="AC43" i="82" s="1"/>
  <c r="J36" i="83"/>
  <c r="AC36" i="83"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U28" i="83"/>
  <c r="W29" i="83"/>
  <c r="S31" i="83"/>
  <c r="U32" i="83"/>
  <c r="AC39" i="83"/>
  <c r="W39" i="83"/>
  <c r="AB43" i="83"/>
  <c r="U43" i="83"/>
  <c r="S10" i="83"/>
  <c r="W10" i="83"/>
  <c r="U11" i="83"/>
  <c r="S12" i="83"/>
  <c r="U13" i="83"/>
  <c r="S14" i="83"/>
  <c r="W14" i="83"/>
  <c r="S15" i="83"/>
  <c r="W15" i="83"/>
  <c r="S17" i="83"/>
  <c r="W17"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0" i="83"/>
  <c r="U41" i="83"/>
  <c r="S44" i="83"/>
  <c r="W44" i="83"/>
  <c r="U45" i="83"/>
  <c r="AA45" i="83"/>
  <c r="U46" i="83"/>
  <c r="S33" i="83"/>
  <c r="W33" i="83"/>
  <c r="U35" i="83"/>
  <c r="S36" i="83"/>
  <c r="W36" i="83"/>
  <c r="G37"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W17" i="82"/>
  <c r="S19" i="82"/>
  <c r="W19" i="82"/>
  <c r="S21" i="82"/>
  <c r="S27" i="82"/>
  <c r="AC39" i="82"/>
  <c r="W39" i="82"/>
  <c r="S9" i="82"/>
  <c r="W9" i="82"/>
  <c r="U10" i="82"/>
  <c r="S11" i="82"/>
  <c r="W11" i="82"/>
  <c r="U12" i="82"/>
  <c r="S13" i="82"/>
  <c r="W13" i="82"/>
  <c r="U14" i="82"/>
  <c r="U15" i="82"/>
  <c r="U17" i="82"/>
  <c r="W21" i="82"/>
  <c r="AC25" i="82"/>
  <c r="W25" i="82"/>
  <c r="W27" i="82"/>
  <c r="AB39" i="82"/>
  <c r="U39" i="82"/>
  <c r="AC40" i="82"/>
  <c r="W40" i="82"/>
  <c r="U21" i="82"/>
  <c r="U23" i="82"/>
  <c r="S25" i="82"/>
  <c r="U27" i="82"/>
  <c r="S28" i="82"/>
  <c r="W28" i="82"/>
  <c r="U29" i="82"/>
  <c r="S30" i="82"/>
  <c r="W30" i="82"/>
  <c r="U31" i="82"/>
  <c r="S32" i="82"/>
  <c r="W32" i="82"/>
  <c r="U33" i="82"/>
  <c r="S35" i="82"/>
  <c r="W35" i="82"/>
  <c r="U36" i="82"/>
  <c r="U38" i="82"/>
  <c r="S39" i="82"/>
  <c r="S44" i="82"/>
  <c r="W44" i="82"/>
  <c r="U45" i="82"/>
  <c r="S46" i="82"/>
  <c r="W46" i="82"/>
  <c r="U47" i="82"/>
  <c r="S29" i="82"/>
  <c r="W29" i="82"/>
  <c r="U30" i="82"/>
  <c r="S31" i="82"/>
  <c r="W31" i="82"/>
  <c r="U32" i="82"/>
  <c r="S33" i="82"/>
  <c r="W33" i="82"/>
  <c r="U35" i="82"/>
  <c r="S36" i="82"/>
  <c r="G37" i="82"/>
  <c r="S38" i="82"/>
  <c r="W38" i="82"/>
  <c r="S40" i="82"/>
  <c r="S43" i="82"/>
  <c r="U44" i="82"/>
  <c r="S45" i="82"/>
  <c r="W45" i="82"/>
  <c r="U46" i="82"/>
  <c r="S47" i="82"/>
  <c r="W47" i="82"/>
  <c r="U25" i="82" l="1"/>
  <c r="W43" i="82"/>
  <c r="AB43" i="82"/>
  <c r="S23" i="82"/>
  <c r="AB30" i="83"/>
  <c r="U30" i="83"/>
  <c r="S41" i="82"/>
  <c r="U28" i="82"/>
  <c r="S19" i="83"/>
  <c r="W12" i="83"/>
  <c r="W36" i="82"/>
  <c r="S17" i="82"/>
  <c r="S38" i="83"/>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3"/>
  <c r="C37" i="82"/>
  <c r="D3" i="83"/>
  <c r="D33" i="43"/>
  <c r="B14" i="74"/>
  <c r="I7" i="79"/>
  <c r="F37" i="83" l="1"/>
  <c r="J37" i="83"/>
  <c r="H37" i="83"/>
  <c r="F37" i="82"/>
  <c r="J37" i="82"/>
  <c r="H37" i="82"/>
  <c r="I29" i="79"/>
  <c r="I28" i="79"/>
  <c r="N28" i="79"/>
  <c r="M28" i="79"/>
  <c r="P28" i="79" s="1"/>
  <c r="L28" i="79"/>
  <c r="N29" i="79"/>
  <c r="M29" i="79"/>
  <c r="L29" i="79"/>
  <c r="P6" i="79"/>
  <c r="O6" i="79"/>
  <c r="N6" i="79"/>
  <c r="M6" i="79"/>
  <c r="L6" i="79"/>
  <c r="K6" i="79"/>
  <c r="O7" i="79"/>
  <c r="N7" i="79"/>
  <c r="M7" i="79"/>
  <c r="P7" i="79" s="1"/>
  <c r="L7" i="79"/>
  <c r="K7" i="79"/>
  <c r="AA37" i="82" l="1"/>
  <c r="S37" i="82"/>
  <c r="AB37" i="83"/>
  <c r="U37" i="83"/>
  <c r="AB37" i="82"/>
  <c r="U37" i="82"/>
  <c r="W37" i="83"/>
  <c r="AC37" i="83"/>
  <c r="W37" i="82"/>
  <c r="AC37" i="82"/>
  <c r="AA37" i="83"/>
  <c r="S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25" i="79"/>
  <c r="T27" i="79"/>
  <c r="U28" i="79"/>
  <c r="AD34" i="79"/>
  <c r="S35" i="79"/>
  <c r="U37" i="79"/>
  <c r="AD38" i="79"/>
  <c r="Y3" i="79"/>
  <c r="U12" i="79"/>
  <c r="V13" i="79"/>
  <c r="V3" i="79"/>
  <c r="Z3" i="79"/>
  <c r="U3" i="79"/>
  <c r="R12" i="79"/>
  <c r="V12" i="79"/>
  <c r="S13" i="79"/>
  <c r="T14" i="79"/>
  <c r="W14" i="79" s="1"/>
  <c r="M25" i="79"/>
  <c r="P25" i="79" s="1"/>
  <c r="U36" i="79"/>
  <c r="AD37" i="79"/>
  <c r="S38" i="79"/>
  <c r="R13" i="79"/>
  <c r="S14" i="79"/>
  <c r="S15" i="79"/>
  <c r="S12" i="79"/>
  <c r="N25" i="79"/>
  <c r="S28" i="79"/>
  <c r="T34" i="79"/>
  <c r="U35" i="79"/>
  <c r="AD36" i="79"/>
  <c r="S37" i="79"/>
  <c r="S27" i="79"/>
  <c r="M3" i="79"/>
  <c r="P3" i="79" s="1"/>
  <c r="T3" i="79"/>
  <c r="W3" i="79" s="1"/>
  <c r="U27" i="79"/>
  <c r="AD33" i="79"/>
  <c r="T32" i="79"/>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P49" i="71"/>
  <c r="E50" i="71"/>
  <c r="O49" i="71"/>
  <c r="C50" i="71" s="1"/>
  <c r="N49" i="71"/>
  <c r="B50" i="71" s="1"/>
  <c r="B51" i="71"/>
  <c r="B52" i="71" s="1"/>
  <c r="S52" i="71" s="1"/>
  <c r="D49" i="71"/>
  <c r="T48" i="71"/>
  <c r="Q48" i="71"/>
  <c r="P48" i="71"/>
  <c r="O48" i="71"/>
  <c r="N48" i="71"/>
  <c r="D48" i="71"/>
  <c r="Q47" i="71"/>
  <c r="P47" i="71"/>
  <c r="O47" i="71"/>
  <c r="N47" i="71"/>
  <c r="Q46" i="71"/>
  <c r="P46" i="71"/>
  <c r="O46" i="71"/>
  <c r="N46" i="71"/>
  <c r="F46" i="71"/>
  <c r="F47" i="71" s="1"/>
  <c r="F48" i="7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AA37" i="71" s="1"/>
  <c r="O38" i="71"/>
  <c r="N38" i="71"/>
  <c r="F38" i="71"/>
  <c r="F39" i="71" s="1"/>
  <c r="F40" i="71" s="1"/>
  <c r="V40" i="71" s="1"/>
  <c r="Q37" i="71"/>
  <c r="P37" i="71"/>
  <c r="O37" i="71"/>
  <c r="N37" i="71"/>
  <c r="X37" i="71" s="1"/>
  <c r="D37" i="71"/>
  <c r="Q36" i="71"/>
  <c r="AB36" i="71"/>
  <c r="P36" i="71"/>
  <c r="AA36" i="71" s="1"/>
  <c r="O36" i="71"/>
  <c r="N36" i="71"/>
  <c r="Q35" i="71"/>
  <c r="AB35" i="71" s="1"/>
  <c r="P35" i="71"/>
  <c r="O35" i="71"/>
  <c r="Y35" i="71" s="1"/>
  <c r="Z35" i="71" s="1"/>
  <c r="N35" i="71"/>
  <c r="Q34" i="71"/>
  <c r="P34" i="71"/>
  <c r="O34" i="71"/>
  <c r="Y34" i="71" s="1"/>
  <c r="Z34" i="71" s="1"/>
  <c r="N34" i="71"/>
  <c r="F34" i="71"/>
  <c r="F35" i="71" s="1"/>
  <c r="F36" i="71" s="1"/>
  <c r="V36" i="71" s="1"/>
  <c r="Q33" i="71"/>
  <c r="AB33" i="71" s="1"/>
  <c r="P33" i="71"/>
  <c r="O33" i="71"/>
  <c r="N33" i="71"/>
  <c r="D33" i="71"/>
  <c r="Q32" i="71"/>
  <c r="AB32" i="71" s="1"/>
  <c r="P32" i="71"/>
  <c r="O32" i="71"/>
  <c r="Y32" i="71"/>
  <c r="Z32" i="71" s="1"/>
  <c r="N32" i="71"/>
  <c r="Q31" i="71"/>
  <c r="AB31" i="71"/>
  <c r="P31" i="71"/>
  <c r="O31" i="71"/>
  <c r="N31" i="71"/>
  <c r="Q30" i="71"/>
  <c r="P30" i="71"/>
  <c r="AA29" i="71" s="1"/>
  <c r="O30" i="71"/>
  <c r="N30" i="71"/>
  <c r="X30" i="71" s="1"/>
  <c r="F30" i="71"/>
  <c r="F31" i="71" s="1"/>
  <c r="F32" i="71" s="1"/>
  <c r="V32" i="71" s="1"/>
  <c r="Q29" i="71"/>
  <c r="P29" i="71"/>
  <c r="O29" i="71"/>
  <c r="N29" i="71"/>
  <c r="X29" i="71" s="1"/>
  <c r="D29" i="71"/>
  <c r="O28" i="71"/>
  <c r="N28" i="71"/>
  <c r="B30" i="71"/>
  <c r="B31" i="71"/>
  <c r="B32" i="71" s="1"/>
  <c r="S32" i="71"/>
  <c r="E30" i="71"/>
  <c r="B34" i="71"/>
  <c r="B35" i="71"/>
  <c r="B36" i="71"/>
  <c r="S36" i="71" s="1"/>
  <c r="B38" i="71"/>
  <c r="B39" i="71"/>
  <c r="B40" i="71"/>
  <c r="S40" i="71" s="1"/>
  <c r="E38" i="71"/>
  <c r="E39" i="71"/>
  <c r="E40" i="71" s="1"/>
  <c r="U40" i="71"/>
  <c r="N68" i="71"/>
  <c r="C30" i="71"/>
  <c r="D30" i="71" s="1"/>
  <c r="Y29" i="71"/>
  <c r="Z29" i="71"/>
  <c r="X31" i="71"/>
  <c r="X32" i="71"/>
  <c r="C34" i="71"/>
  <c r="C35" i="71" s="1"/>
  <c r="Y33" i="71"/>
  <c r="Z33" i="71"/>
  <c r="AA34" i="71"/>
  <c r="X35" i="71"/>
  <c r="AA35" i="71"/>
  <c r="C38" i="71"/>
  <c r="Y37" i="71"/>
  <c r="Z37" i="71" s="1"/>
  <c r="AB37" i="71"/>
  <c r="X38" i="71"/>
  <c r="AA38" i="71"/>
  <c r="F52" i="71"/>
  <c r="V52" i="71"/>
  <c r="C28" i="71"/>
  <c r="Y26" i="71"/>
  <c r="Z26" i="71"/>
  <c r="Y28" i="71"/>
  <c r="Z28" i="71"/>
  <c r="X25" i="71"/>
  <c r="X27" i="71"/>
  <c r="X28" i="71"/>
  <c r="D34" i="71"/>
  <c r="C39" i="71"/>
  <c r="C40" i="71" s="1"/>
  <c r="D38" i="71"/>
  <c r="D42" i="71"/>
  <c r="C47" i="71"/>
  <c r="D47" i="71"/>
  <c r="D46" i="71"/>
  <c r="C51" i="71"/>
  <c r="D50" i="71"/>
  <c r="P28" i="71"/>
  <c r="AA24" i="71" s="1"/>
  <c r="E55" i="71"/>
  <c r="E56" i="71" s="1"/>
  <c r="U56" i="71" s="1"/>
  <c r="E59" i="71"/>
  <c r="E60" i="71" s="1"/>
  <c r="U60" i="71" s="1"/>
  <c r="E63" i="71"/>
  <c r="E64" i="71"/>
  <c r="U64" i="71" s="1"/>
  <c r="U68" i="71"/>
  <c r="E67" i="71"/>
  <c r="Q28" i="71"/>
  <c r="AB27" i="71" s="1"/>
  <c r="C59" i="71"/>
  <c r="D58" i="71"/>
  <c r="C63" i="71"/>
  <c r="D62" i="71"/>
  <c r="N67" i="71"/>
  <c r="B66" i="71"/>
  <c r="N66" i="71" s="1"/>
  <c r="T68" i="71"/>
  <c r="O68" i="71"/>
  <c r="D68" i="71"/>
  <c r="C67" i="71"/>
  <c r="Q68" i="71"/>
  <c r="C71" i="71"/>
  <c r="C70" i="71" s="1"/>
  <c r="D70" i="71" s="1"/>
  <c r="E71" i="71"/>
  <c r="E70" i="71" s="1"/>
  <c r="D72" i="71"/>
  <c r="C75" i="71"/>
  <c r="D75" i="71" s="1"/>
  <c r="E75" i="71"/>
  <c r="E74" i="71" s="1"/>
  <c r="D76" i="71"/>
  <c r="C79" i="71"/>
  <c r="D79" i="71" s="1"/>
  <c r="E79" i="71"/>
  <c r="E78" i="71" s="1"/>
  <c r="D80" i="71"/>
  <c r="C83" i="71"/>
  <c r="C87" i="71"/>
  <c r="T28" i="71"/>
  <c r="C27" i="71"/>
  <c r="D27" i="71" s="1"/>
  <c r="F28" i="71"/>
  <c r="F27" i="71" s="1"/>
  <c r="F26" i="71" s="1"/>
  <c r="AB25" i="71"/>
  <c r="AB26" i="71"/>
  <c r="E28" i="71"/>
  <c r="E27" i="71" s="1"/>
  <c r="E26" i="71" s="1"/>
  <c r="AA3" i="71"/>
  <c r="AA25" i="71"/>
  <c r="AA26" i="71"/>
  <c r="AA28" i="71"/>
  <c r="D28" i="71"/>
  <c r="U28" i="71" s="1"/>
  <c r="C66" i="71"/>
  <c r="O67" i="71"/>
  <c r="D67" i="71"/>
  <c r="C64" i="71"/>
  <c r="T64" i="71" s="1"/>
  <c r="D63" i="71"/>
  <c r="D83" i="71"/>
  <c r="C82" i="71"/>
  <c r="D82" i="71" s="1"/>
  <c r="C74" i="71"/>
  <c r="D74" i="71"/>
  <c r="N65" i="71"/>
  <c r="D87" i="71"/>
  <c r="C86" i="71"/>
  <c r="D86" i="71"/>
  <c r="C78" i="71"/>
  <c r="D78" i="71"/>
  <c r="D71" i="71"/>
  <c r="C60" i="71"/>
  <c r="D60" i="71" s="1"/>
  <c r="D59" i="71"/>
  <c r="P67" i="71"/>
  <c r="E66" i="71"/>
  <c r="C52" i="71"/>
  <c r="D51" i="71"/>
  <c r="C44" i="71"/>
  <c r="T44" i="71" s="1"/>
  <c r="D43" i="71"/>
  <c r="D39" i="71"/>
  <c r="C36" i="71"/>
  <c r="T36" i="71" s="1"/>
  <c r="D35" i="71"/>
  <c r="C26" i="71"/>
  <c r="D26" i="71"/>
  <c r="V28" i="71"/>
  <c r="P65" i="71"/>
  <c r="P66" i="71"/>
  <c r="O66" i="71"/>
  <c r="D66" i="71"/>
  <c r="O65" i="71"/>
  <c r="D36" i="71"/>
  <c r="D44" i="71"/>
  <c r="T52" i="71"/>
  <c r="D52" i="71"/>
  <c r="T60"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C21" i="37"/>
  <c r="Q21" i="33"/>
  <c r="Z21" i="33" s="1"/>
  <c r="D83" i="33"/>
  <c r="E83" i="33"/>
  <c r="C21" i="33"/>
  <c r="C21" i="21"/>
  <c r="Q21" i="21"/>
  <c r="Z21" i="21"/>
  <c r="H19" i="21"/>
  <c r="D83" i="21"/>
  <c r="E83" i="21" s="1"/>
  <c r="F83" i="21" s="1"/>
  <c r="G83" i="21" s="1"/>
  <c r="F21" i="21"/>
  <c r="AA21" i="21"/>
  <c r="D81" i="21"/>
  <c r="G20" i="20"/>
  <c r="C22" i="20"/>
  <c r="B100" i="43" s="1"/>
  <c r="B77" i="43"/>
  <c r="B57" i="43"/>
  <c r="C29" i="39"/>
  <c r="S25" i="40"/>
  <c r="U18" i="36"/>
  <c r="H25" i="40"/>
  <c r="AB25" i="40" s="1"/>
  <c r="J25" i="40"/>
  <c r="H29" i="39"/>
  <c r="AB29" i="39" s="1"/>
  <c r="J29" i="39"/>
  <c r="J18" i="36"/>
  <c r="F68" i="35"/>
  <c r="G68" i="35" s="1"/>
  <c r="H18" i="35"/>
  <c r="J18" i="35"/>
  <c r="F77" i="37"/>
  <c r="G77" i="37" s="1"/>
  <c r="H21" i="37"/>
  <c r="F21" i="37"/>
  <c r="F83" i="33"/>
  <c r="H21" i="33"/>
  <c r="F21" i="33"/>
  <c r="S21" i="21"/>
  <c r="H1" i="69"/>
  <c r="AC25" i="40"/>
  <c r="W25" i="40"/>
  <c r="U25" i="40"/>
  <c r="AC18" i="36"/>
  <c r="W18" i="36"/>
  <c r="AB21" i="37"/>
  <c r="U21" i="37"/>
  <c r="AA21" i="37"/>
  <c r="S21" i="37"/>
  <c r="AA21" i="33"/>
  <c r="S21" i="33"/>
  <c r="AC18" i="35"/>
  <c r="W18" i="35"/>
  <c r="J21" i="37"/>
  <c r="G83" i="33"/>
  <c r="J21" i="33"/>
  <c r="H21" i="21"/>
  <c r="AB21" i="21" s="1"/>
  <c r="F38" i="69"/>
  <c r="E37" i="69"/>
  <c r="F36" i="69"/>
  <c r="F35" i="69"/>
  <c r="F21" i="69"/>
  <c r="F40" i="69" s="1"/>
  <c r="F20" i="69"/>
  <c r="F39" i="69" s="1"/>
  <c r="E10" i="69"/>
  <c r="E9" i="69"/>
  <c r="AC21" i="37"/>
  <c r="W21" i="37"/>
  <c r="U21"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L87" i="3" s="1"/>
  <c r="BN87" i="3"/>
  <c r="BM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BC81" i="3"/>
  <c r="BB81" i="3"/>
  <c r="AZ81" i="3"/>
  <c r="AX81" i="3"/>
  <c r="AW81" i="3"/>
  <c r="AV81" i="3"/>
  <c r="AC81" i="3"/>
  <c r="H81" i="3"/>
  <c r="BT80" i="3"/>
  <c r="BS80" i="3"/>
  <c r="BR80" i="3"/>
  <c r="BQ80" i="3"/>
  <c r="BP80" i="3"/>
  <c r="BO80" i="3"/>
  <c r="BL80" i="3" s="1"/>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L68" i="3" s="1"/>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G38" i="3" s="1"/>
  <c r="H38" i="3"/>
  <c r="BT37" i="3"/>
  <c r="BS37" i="3"/>
  <c r="BR37" i="3"/>
  <c r="BQ37" i="3"/>
  <c r="BP37" i="3"/>
  <c r="BO37" i="3"/>
  <c r="BL37" i="3" s="1"/>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E5"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AZ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J5" i="3" s="1"/>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A542" i="3" s="1"/>
  <c r="AZ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A547" i="3" s="1"/>
  <c r="AZ547" i="3" s="1"/>
  <c r="BC547" i="3"/>
  <c r="BD547" i="3"/>
  <c r="BE547" i="3"/>
  <c r="BF547" i="3"/>
  <c r="BG547" i="3"/>
  <c r="BH547" i="3"/>
  <c r="BI547" i="3"/>
  <c r="BJ547" i="3"/>
  <c r="BK547" i="3"/>
  <c r="BM547" i="3"/>
  <c r="BN547" i="3"/>
  <c r="BO547" i="3"/>
  <c r="BL547" i="3" s="1"/>
  <c r="BP547" i="3"/>
  <c r="BR547" i="3"/>
  <c r="BS547" i="3"/>
  <c r="BT547" i="3"/>
  <c r="H548" i="3"/>
  <c r="G548" i="3" s="1"/>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s="1"/>
  <c r="H87" i="35"/>
  <c r="I87" i="35" s="1"/>
  <c r="J87" i="35" s="1"/>
  <c r="K87" i="35" s="1"/>
  <c r="L87" i="35"/>
  <c r="M87" i="35" s="1"/>
  <c r="H34" i="37"/>
  <c r="D101" i="37"/>
  <c r="F34" i="37"/>
  <c r="D99" i="37"/>
  <c r="E99" i="37" s="1"/>
  <c r="F99" i="37" s="1"/>
  <c r="G99" i="37" s="1"/>
  <c r="H99" i="37" s="1"/>
  <c r="I99" i="37" s="1"/>
  <c r="J99" i="37" s="1"/>
  <c r="K99" i="37" s="1"/>
  <c r="L99" i="37" s="1"/>
  <c r="M99" i="37" s="1"/>
  <c r="F40" i="33"/>
  <c r="J41" i="33"/>
  <c r="D113" i="33"/>
  <c r="F37" i="33"/>
  <c r="AA37" i="33" s="1"/>
  <c r="D111" i="33"/>
  <c r="E111" i="33"/>
  <c r="F111" i="33"/>
  <c r="S515" i="31"/>
  <c r="S517" i="31"/>
  <c r="S519" i="31"/>
  <c r="S521" i="31"/>
  <c r="S523" i="31"/>
  <c r="F41" i="21"/>
  <c r="J41" i="21"/>
  <c r="AC41" i="21"/>
  <c r="H41" i="2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H39" i="40" s="1"/>
  <c r="J39" i="40"/>
  <c r="B116" i="40"/>
  <c r="D115" i="40"/>
  <c r="E115" i="40"/>
  <c r="F115" i="40" s="1"/>
  <c r="G115" i="40" s="1"/>
  <c r="H115" i="40" s="1"/>
  <c r="I115" i="40" s="1"/>
  <c r="J115" i="40" s="1"/>
  <c r="K115" i="40" s="1"/>
  <c r="L115" i="40" s="1"/>
  <c r="M115" i="40" s="1"/>
  <c r="D113" i="40"/>
  <c r="E113" i="40"/>
  <c r="F113" i="40"/>
  <c r="G113" i="40" s="1"/>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H32" i="40" s="1"/>
  <c r="B101" i="40"/>
  <c r="J31" i="40"/>
  <c r="D100" i="40"/>
  <c r="E100" i="40" s="1"/>
  <c r="F100" i="40"/>
  <c r="G100" i="40" s="1"/>
  <c r="H100" i="40" s="1"/>
  <c r="I100" i="40" s="1"/>
  <c r="J100" i="40" s="1"/>
  <c r="K100" i="40" s="1"/>
  <c r="L100" i="40" s="1"/>
  <c r="M100" i="40" s="1"/>
  <c r="D98" i="40"/>
  <c r="J28" i="40"/>
  <c r="AC28" i="40"/>
  <c r="D96" i="40"/>
  <c r="E96" i="40"/>
  <c r="F96" i="40"/>
  <c r="G96" i="40"/>
  <c r="H96" i="40" s="1"/>
  <c r="I96" i="40"/>
  <c r="J96" i="40" s="1"/>
  <c r="K96" i="40" s="1"/>
  <c r="L96" i="40" s="1"/>
  <c r="M96" i="40"/>
  <c r="B95" i="40"/>
  <c r="D92" i="40"/>
  <c r="E92" i="40" s="1"/>
  <c r="F92" i="40"/>
  <c r="G92" i="40"/>
  <c r="D90" i="40"/>
  <c r="E90" i="40" s="1"/>
  <c r="F90" i="40" s="1"/>
  <c r="G90" i="40" s="1"/>
  <c r="D88" i="40"/>
  <c r="E88" i="40" s="1"/>
  <c r="D86" i="40"/>
  <c r="E86" i="40" s="1"/>
  <c r="F86" i="40" s="1"/>
  <c r="G86" i="40" s="1"/>
  <c r="D84" i="40"/>
  <c r="E84" i="40" s="1"/>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U39" i="40"/>
  <c r="Q38" i="40"/>
  <c r="Z38" i="40"/>
  <c r="H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J40" i="37" s="1"/>
  <c r="AC40" i="37" s="1"/>
  <c r="D107" i="37"/>
  <c r="E107" i="37" s="1"/>
  <c r="D105" i="37"/>
  <c r="E105" i="37"/>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s="1"/>
  <c r="B68" i="37"/>
  <c r="H14" i="37"/>
  <c r="B66" i="37"/>
  <c r="B64" i="37"/>
  <c r="D63" i="37"/>
  <c r="E63" i="37" s="1"/>
  <c r="F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AC31" i="37"/>
  <c r="Q30" i="37"/>
  <c r="Z30" i="37" s="1"/>
  <c r="J30" i="37"/>
  <c r="AC30" i="37" s="1"/>
  <c r="H30" i="37"/>
  <c r="AB30" i="37" s="1"/>
  <c r="F30" i="37"/>
  <c r="AA30" i="37" s="1"/>
  <c r="Q29" i="37"/>
  <c r="Z29" i="37"/>
  <c r="H29" i="37"/>
  <c r="AB29" i="37"/>
  <c r="Q28" i="37"/>
  <c r="Z28" i="37"/>
  <c r="Q27" i="37"/>
  <c r="Z27" i="37"/>
  <c r="Q26" i="37"/>
  <c r="Z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c r="D64" i="36"/>
  <c r="E64" i="36" s="1"/>
  <c r="F64" i="36" s="1"/>
  <c r="G64" i="36" s="1"/>
  <c r="J16" i="36"/>
  <c r="W16" i="36" s="1"/>
  <c r="D62" i="36"/>
  <c r="E62" i="36"/>
  <c r="F62" i="36" s="1"/>
  <c r="G62" i="36" s="1"/>
  <c r="B59" i="36"/>
  <c r="B57" i="36"/>
  <c r="J12" i="36"/>
  <c r="AC12" i="36" s="1"/>
  <c r="B55" i="36"/>
  <c r="C51" i="36"/>
  <c r="H9" i="36" s="1"/>
  <c r="P37" i="36"/>
  <c r="P36" i="36"/>
  <c r="V35" i="36"/>
  <c r="T35" i="36"/>
  <c r="R35" i="36"/>
  <c r="P35" i="36"/>
  <c r="Q34" i="36"/>
  <c r="Z34" i="36"/>
  <c r="Q33" i="36"/>
  <c r="Z33" i="36"/>
  <c r="Q32" i="36"/>
  <c r="Z32" i="36"/>
  <c r="Q31" i="36"/>
  <c r="Z31" i="36"/>
  <c r="Q30" i="36"/>
  <c r="Z30" i="36"/>
  <c r="AC30" i="36"/>
  <c r="Q29" i="36"/>
  <c r="Z29" i="36" s="1"/>
  <c r="Q28" i="36"/>
  <c r="Z28" i="36"/>
  <c r="J28" i="36"/>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J36" i="35" s="1"/>
  <c r="AC36" i="35" s="1"/>
  <c r="H36" i="35"/>
  <c r="AB36" i="35"/>
  <c r="B99" i="35"/>
  <c r="B97" i="35"/>
  <c r="H34" i="35" s="1"/>
  <c r="AB34" i="35" s="1"/>
  <c r="B77" i="35"/>
  <c r="B75" i="35"/>
  <c r="B73" i="35"/>
  <c r="H23" i="35" s="1"/>
  <c r="B57" i="35"/>
  <c r="B61" i="35"/>
  <c r="J13" i="35" s="1"/>
  <c r="B59" i="35"/>
  <c r="B130" i="33"/>
  <c r="B128" i="33"/>
  <c r="B126" i="33"/>
  <c r="J44" i="33" s="1"/>
  <c r="B98" i="33"/>
  <c r="F31" i="33" s="1"/>
  <c r="B96" i="33"/>
  <c r="B94" i="33"/>
  <c r="B74" i="33"/>
  <c r="F14" i="33" s="1"/>
  <c r="B72" i="33"/>
  <c r="H13" i="33" s="1"/>
  <c r="U13" i="33" s="1"/>
  <c r="B70" i="33"/>
  <c r="J12" i="33"/>
  <c r="D96" i="35"/>
  <c r="E96" i="35" s="1"/>
  <c r="F96" i="35" s="1"/>
  <c r="G96" i="35" s="1"/>
  <c r="D94" i="35"/>
  <c r="E94" i="35" s="1"/>
  <c r="F94" i="35" s="1"/>
  <c r="G94" i="35" s="1"/>
  <c r="H94" i="35" s="1"/>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AC9" i="35" s="1"/>
  <c r="P39" i="35"/>
  <c r="P38" i="35"/>
  <c r="V37" i="35"/>
  <c r="T37" i="35"/>
  <c r="R37" i="35"/>
  <c r="P37" i="35"/>
  <c r="Q36" i="35"/>
  <c r="Z36" i="35" s="1"/>
  <c r="Q35" i="35"/>
  <c r="Z35" i="35" s="1"/>
  <c r="Q34" i="35"/>
  <c r="Z34" i="35"/>
  <c r="J34" i="35"/>
  <c r="F34" i="35"/>
  <c r="S34" i="35" s="1"/>
  <c r="Q33" i="35"/>
  <c r="Z33" i="35"/>
  <c r="Q32" i="35"/>
  <c r="Z32" i="35" s="1"/>
  <c r="H32" i="35"/>
  <c r="AB32" i="35" s="1"/>
  <c r="F32" i="35"/>
  <c r="AA32" i="35" s="1"/>
  <c r="Q31" i="35"/>
  <c r="Z31" i="35" s="1"/>
  <c r="AC31" i="35"/>
  <c r="AA31" i="35"/>
  <c r="Q30" i="35"/>
  <c r="Z30" i="35" s="1"/>
  <c r="Q29" i="35"/>
  <c r="Z29" i="35"/>
  <c r="Q28" i="35"/>
  <c r="Z28" i="35" s="1"/>
  <c r="J28" i="35"/>
  <c r="AC28" i="35"/>
  <c r="H28" i="35"/>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Q11" i="35"/>
  <c r="Z11" i="35" s="1"/>
  <c r="Q10" i="35"/>
  <c r="Z10" i="35"/>
  <c r="Q9" i="35"/>
  <c r="Z9" i="35" s="1"/>
  <c r="J8" i="35"/>
  <c r="W8" i="35" s="1"/>
  <c r="H8" i="35"/>
  <c r="AB8" i="35" s="1"/>
  <c r="F8" i="35"/>
  <c r="AA8" i="35" s="1"/>
  <c r="D121" i="33"/>
  <c r="E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c r="Q38" i="33"/>
  <c r="Z38" i="33" s="1"/>
  <c r="J38" i="33"/>
  <c r="AC38" i="33"/>
  <c r="H38" i="33"/>
  <c r="AB38" i="33" s="1"/>
  <c r="F38" i="33"/>
  <c r="AA38" i="33"/>
  <c r="Q37" i="33"/>
  <c r="Z37" i="33" s="1"/>
  <c r="Q36" i="33"/>
  <c r="Z36" i="33"/>
  <c r="Q35" i="33"/>
  <c r="Z35" i="33" s="1"/>
  <c r="H35" i="33"/>
  <c r="U35" i="33" s="1"/>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G123" i="21" s="1"/>
  <c r="F42" i="21"/>
  <c r="AA42" i="21"/>
  <c r="D119" i="21"/>
  <c r="E119" i="21" s="1"/>
  <c r="F119" i="21" s="1"/>
  <c r="F40" i="21"/>
  <c r="AA40" i="21" s="1"/>
  <c r="D117" i="21"/>
  <c r="E117" i="21"/>
  <c r="F117" i="21" s="1"/>
  <c r="G117" i="21" s="1"/>
  <c r="D115" i="21"/>
  <c r="E115" i="21"/>
  <c r="F115" i="2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J26" i="21"/>
  <c r="W26" i="21"/>
  <c r="F26" i="21"/>
  <c r="S26" i="21" s="1"/>
  <c r="S41" i="21"/>
  <c r="AA41" i="21"/>
  <c r="J45" i="39"/>
  <c r="W45" i="39"/>
  <c r="F36" i="39"/>
  <c r="H36" i="39"/>
  <c r="AB36" i="39"/>
  <c r="J35" i="39"/>
  <c r="AC35" i="39" s="1"/>
  <c r="F35" i="39"/>
  <c r="AA35" i="39"/>
  <c r="J36" i="39"/>
  <c r="U9" i="39"/>
  <c r="W40" i="39"/>
  <c r="W25" i="37"/>
  <c r="U30" i="37"/>
  <c r="W31" i="37"/>
  <c r="F39" i="37"/>
  <c r="S39" i="37"/>
  <c r="F29" i="36"/>
  <c r="AA29" i="36" s="1"/>
  <c r="F16" i="36"/>
  <c r="AA16" i="36"/>
  <c r="U31" i="36"/>
  <c r="J33" i="36"/>
  <c r="AC33" i="36" s="1"/>
  <c r="H22" i="35"/>
  <c r="AB22" i="35"/>
  <c r="AC27" i="35"/>
  <c r="W28" i="35"/>
  <c r="W36" i="35"/>
  <c r="S31" i="35"/>
  <c r="U34" i="35"/>
  <c r="H39" i="33"/>
  <c r="AB39" i="33" s="1"/>
  <c r="U33" i="33"/>
  <c r="S40" i="33"/>
  <c r="W33" i="33"/>
  <c r="W39" i="33"/>
  <c r="S27" i="35"/>
  <c r="F11" i="40"/>
  <c r="AA11" i="40" s="1"/>
  <c r="H11" i="40"/>
  <c r="AB11" i="40"/>
  <c r="W8" i="40"/>
  <c r="AB39" i="40"/>
  <c r="AC40" i="40"/>
  <c r="AA9" i="40"/>
  <c r="AC9" i="40"/>
  <c r="S34" i="40"/>
  <c r="S40" i="40"/>
  <c r="U40" i="40"/>
  <c r="F42" i="39"/>
  <c r="AA42" i="39" s="1"/>
  <c r="F41" i="39"/>
  <c r="S41" i="39" s="1"/>
  <c r="H40" i="39"/>
  <c r="H39" i="39"/>
  <c r="U39" i="39" s="1"/>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AB17" i="39" s="1"/>
  <c r="F17" i="39"/>
  <c r="AA17" i="39" s="1"/>
  <c r="J23" i="40"/>
  <c r="AC23" i="40" s="1"/>
  <c r="F21" i="40"/>
  <c r="AA21" i="40" s="1"/>
  <c r="J21" i="40"/>
  <c r="H42" i="39"/>
  <c r="AB42" i="39" s="1"/>
  <c r="J34" i="39"/>
  <c r="AC34" i="39" s="1"/>
  <c r="J31" i="39"/>
  <c r="F100" i="39"/>
  <c r="H27" i="39"/>
  <c r="U27" i="39" s="1"/>
  <c r="J19" i="39"/>
  <c r="J17" i="39"/>
  <c r="W17" i="39" s="1"/>
  <c r="J27" i="39"/>
  <c r="AC27" i="39" s="1"/>
  <c r="F27" i="39"/>
  <c r="F11" i="21"/>
  <c r="S11" i="21" s="1"/>
  <c r="S40" i="21"/>
  <c r="U34"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J34" i="36"/>
  <c r="W34" i="36" s="1"/>
  <c r="U30" i="36"/>
  <c r="J30" i="35"/>
  <c r="W30" i="35" s="1"/>
  <c r="H30" i="35"/>
  <c r="AB30" i="35" s="1"/>
  <c r="F22" i="35"/>
  <c r="AA22" i="35" s="1"/>
  <c r="H10" i="35"/>
  <c r="U10" i="35" s="1"/>
  <c r="AC16" i="36"/>
  <c r="F33" i="36"/>
  <c r="AA33" i="36" s="1"/>
  <c r="W30" i="36"/>
  <c r="H16" i="36"/>
  <c r="AB16" i="36" s="1"/>
  <c r="E85" i="36"/>
  <c r="F85" i="36" s="1"/>
  <c r="G85" i="36"/>
  <c r="H85" i="36"/>
  <c r="I85" i="36" s="1"/>
  <c r="J85" i="36" s="1"/>
  <c r="K85" i="36" s="1"/>
  <c r="L85" i="36" s="1"/>
  <c r="M85" i="36" s="1"/>
  <c r="J29" i="36"/>
  <c r="AC29" i="36" s="1"/>
  <c r="F12" i="36"/>
  <c r="F24" i="36"/>
  <c r="AA24" i="36"/>
  <c r="F34" i="36"/>
  <c r="S34" i="36"/>
  <c r="F14" i="35"/>
  <c r="AA14" i="35"/>
  <c r="J32" i="35"/>
  <c r="AC32" i="35" s="1"/>
  <c r="J16" i="35"/>
  <c r="AC16" i="35" s="1"/>
  <c r="H16" i="35"/>
  <c r="U16" i="35" s="1"/>
  <c r="F16" i="35"/>
  <c r="S16" i="35" s="1"/>
  <c r="H14" i="35"/>
  <c r="AB14" i="35"/>
  <c r="J29" i="35"/>
  <c r="W29" i="35" s="1"/>
  <c r="H33" i="35"/>
  <c r="AB33" i="35"/>
  <c r="J20" i="35"/>
  <c r="F35" i="37"/>
  <c r="S35" i="37"/>
  <c r="E101" i="37"/>
  <c r="F101" i="37" s="1"/>
  <c r="G101" i="37" s="1"/>
  <c r="H101" i="37" s="1"/>
  <c r="I101" i="37"/>
  <c r="J101" i="37" s="1"/>
  <c r="K101" i="37" s="1"/>
  <c r="L101" i="37" s="1"/>
  <c r="M101" i="37"/>
  <c r="J34" i="37"/>
  <c r="W34" i="37" s="1"/>
  <c r="AA39" i="37"/>
  <c r="AB34" i="37"/>
  <c r="J33" i="37"/>
  <c r="AC33" i="37" s="1"/>
  <c r="F41" i="33"/>
  <c r="AA41" i="33"/>
  <c r="S38" i="33"/>
  <c r="E113" i="33"/>
  <c r="F32" i="33"/>
  <c r="AA32" i="33"/>
  <c r="J19" i="33"/>
  <c r="J15" i="33"/>
  <c r="AC15" i="33"/>
  <c r="F11" i="33"/>
  <c r="U40" i="33"/>
  <c r="W40" i="33"/>
  <c r="F37" i="40"/>
  <c r="AA37" i="40" s="1"/>
  <c r="F36" i="40"/>
  <c r="AA36" i="40"/>
  <c r="H28" i="40"/>
  <c r="F23" i="40"/>
  <c r="AA23" i="40"/>
  <c r="F17" i="40"/>
  <c r="J17" i="40"/>
  <c r="W17" i="40"/>
  <c r="F15" i="40"/>
  <c r="S15" i="40" s="1"/>
  <c r="H15" i="40"/>
  <c r="AB15" i="40"/>
  <c r="AC11" i="40"/>
  <c r="S12" i="36"/>
  <c r="AA12" i="36"/>
  <c r="AB30" i="36"/>
  <c r="U33" i="35"/>
  <c r="F29" i="35"/>
  <c r="S29" i="35" s="1"/>
  <c r="H29" i="35"/>
  <c r="AB29" i="35" s="1"/>
  <c r="H33" i="37"/>
  <c r="AB33" i="37" s="1"/>
  <c r="F33" i="37"/>
  <c r="AA33" i="37" s="1"/>
  <c r="U34" i="37"/>
  <c r="S41" i="33"/>
  <c r="F113" i="33"/>
  <c r="G113" i="33" s="1"/>
  <c r="H113" i="33" s="1"/>
  <c r="I113" i="33" s="1"/>
  <c r="J113" i="33" s="1"/>
  <c r="K113" i="33" s="1"/>
  <c r="L113" i="33" s="1"/>
  <c r="M113" i="33" s="1"/>
  <c r="H37" i="33"/>
  <c r="AB37" i="33" s="1"/>
  <c r="H15" i="33"/>
  <c r="AB15" i="33"/>
  <c r="H11" i="33"/>
  <c r="AB11" i="33" s="1"/>
  <c r="F28" i="40"/>
  <c r="AA28" i="40"/>
  <c r="AA29" i="35"/>
  <c r="J11" i="33"/>
  <c r="W11" i="33" s="1"/>
  <c r="U23" i="40"/>
  <c r="H123" i="21"/>
  <c r="I123" i="21" s="1"/>
  <c r="J123" i="21" s="1"/>
  <c r="K123" i="21" s="1"/>
  <c r="L123" i="21" s="1"/>
  <c r="M123" i="21" s="1"/>
  <c r="J42" i="21"/>
  <c r="AC42" i="21"/>
  <c r="H42" i="21"/>
  <c r="J10" i="35"/>
  <c r="AC10" i="35" s="1"/>
  <c r="J14" i="21"/>
  <c r="W14" i="21" s="1"/>
  <c r="F14" i="21"/>
  <c r="S14" i="21"/>
  <c r="H14" i="21"/>
  <c r="U14" i="21" s="1"/>
  <c r="H28" i="21"/>
  <c r="AB28" i="21"/>
  <c r="F28" i="21"/>
  <c r="AA28" i="21" s="1"/>
  <c r="J28" i="21"/>
  <c r="W28" i="21"/>
  <c r="H30" i="21"/>
  <c r="U30" i="21" s="1"/>
  <c r="F30" i="21"/>
  <c r="S30" i="21"/>
  <c r="J30" i="21"/>
  <c r="AC30" i="21" s="1"/>
  <c r="J44" i="21"/>
  <c r="AC44" i="21"/>
  <c r="H44" i="21"/>
  <c r="F44" i="21"/>
  <c r="AA44" i="21"/>
  <c r="H46" i="21"/>
  <c r="U46" i="21" s="1"/>
  <c r="J46" i="21"/>
  <c r="W46" i="21"/>
  <c r="F46" i="21"/>
  <c r="G119" i="2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W14" i="36" s="1"/>
  <c r="H14" i="36"/>
  <c r="U14" i="36"/>
  <c r="F28" i="36"/>
  <c r="AA28" i="36" s="1"/>
  <c r="J13" i="21"/>
  <c r="AC13" i="21"/>
  <c r="H27" i="21"/>
  <c r="AB27" i="21" s="1"/>
  <c r="F27" i="21"/>
  <c r="AA27" i="21"/>
  <c r="H29" i="21"/>
  <c r="J31" i="21"/>
  <c r="AC31" i="21"/>
  <c r="F31" i="21"/>
  <c r="S31" i="21" s="1"/>
  <c r="F45" i="21"/>
  <c r="AA45" i="21"/>
  <c r="F27" i="33"/>
  <c r="F13" i="33"/>
  <c r="J29" i="33"/>
  <c r="AC29" i="33"/>
  <c r="H29" i="33"/>
  <c r="F29" i="33"/>
  <c r="S29" i="33"/>
  <c r="J31" i="33"/>
  <c r="W31" i="33" s="1"/>
  <c r="H45" i="33"/>
  <c r="J45" i="33"/>
  <c r="W45" i="33"/>
  <c r="F45" i="33"/>
  <c r="H11" i="35"/>
  <c r="AB11" i="35" s="1"/>
  <c r="J11" i="35"/>
  <c r="W11" i="35" s="1"/>
  <c r="AC11" i="35"/>
  <c r="F11" i="35"/>
  <c r="S11" i="35" s="1"/>
  <c r="J26" i="36"/>
  <c r="W26" i="36"/>
  <c r="H28" i="36"/>
  <c r="H32" i="36"/>
  <c r="AB32" i="36" s="1"/>
  <c r="J32" i="36"/>
  <c r="W32" i="36" s="1"/>
  <c r="J11" i="36"/>
  <c r="AC11" i="36" s="1"/>
  <c r="H11" i="36"/>
  <c r="U11" i="36" s="1"/>
  <c r="F11" i="36"/>
  <c r="AA11" i="36" s="1"/>
  <c r="H13" i="36"/>
  <c r="AB13" i="36"/>
  <c r="J13" i="36"/>
  <c r="AC13" i="36" s="1"/>
  <c r="F13" i="36"/>
  <c r="AA13" i="36" s="1"/>
  <c r="E89" i="37"/>
  <c r="F89" i="37"/>
  <c r="G89" i="37" s="1"/>
  <c r="H89" i="37" s="1"/>
  <c r="I89" i="37" s="1"/>
  <c r="J89" i="37"/>
  <c r="K89" i="37" s="1"/>
  <c r="L89" i="37" s="1"/>
  <c r="M89" i="37" s="1"/>
  <c r="J29" i="37"/>
  <c r="W29" i="37" s="1"/>
  <c r="F29" i="37"/>
  <c r="S29" i="37"/>
  <c r="F105" i="37"/>
  <c r="G105" i="37" s="1"/>
  <c r="H36" i="37"/>
  <c r="AB36" i="37" s="1"/>
  <c r="F107" i="37"/>
  <c r="J37" i="37"/>
  <c r="AC37" i="37"/>
  <c r="H37" i="37"/>
  <c r="U37" i="37"/>
  <c r="H40" i="37"/>
  <c r="U40" i="37"/>
  <c r="F40" i="37"/>
  <c r="S40" i="37" s="1"/>
  <c r="J14" i="33"/>
  <c r="H30" i="33"/>
  <c r="F30" i="33"/>
  <c r="J30" i="33"/>
  <c r="W30" i="33" s="1"/>
  <c r="H44" i="33"/>
  <c r="J46" i="33"/>
  <c r="AC46" i="33"/>
  <c r="F46" i="33"/>
  <c r="AA46" i="33"/>
  <c r="H46" i="33"/>
  <c r="AB46" i="33"/>
  <c r="H13" i="35"/>
  <c r="U13" i="35" s="1"/>
  <c r="J25" i="35"/>
  <c r="W25" i="35"/>
  <c r="F25" i="35"/>
  <c r="AA25" i="35" s="1"/>
  <c r="H25" i="35"/>
  <c r="AB25" i="35"/>
  <c r="J35" i="35"/>
  <c r="W35" i="35" s="1"/>
  <c r="F35" i="35"/>
  <c r="AA35" i="35"/>
  <c r="H35" i="35"/>
  <c r="U35" i="35" s="1"/>
  <c r="J25" i="36"/>
  <c r="W25" i="36"/>
  <c r="F25" i="36"/>
  <c r="AA25" i="36" s="1"/>
  <c r="H25" i="36"/>
  <c r="AB25" i="36"/>
  <c r="H13" i="37"/>
  <c r="F13" i="37"/>
  <c r="S13" i="37" s="1"/>
  <c r="J13" i="37"/>
  <c r="W13" i="37" s="1"/>
  <c r="F28" i="37"/>
  <c r="S28" i="37" s="1"/>
  <c r="AA28" i="37"/>
  <c r="J28" i="37"/>
  <c r="AC28" i="37"/>
  <c r="H28" i="37"/>
  <c r="AB28" i="37" s="1"/>
  <c r="U28" i="37"/>
  <c r="H38" i="37"/>
  <c r="AB38" i="37"/>
  <c r="J38" i="37"/>
  <c r="AC38" i="37"/>
  <c r="F38" i="37"/>
  <c r="S38" i="37"/>
  <c r="F43" i="39"/>
  <c r="S43" i="39" s="1"/>
  <c r="AA43" i="39"/>
  <c r="H43" i="39"/>
  <c r="J14" i="39"/>
  <c r="AC14" i="39" s="1"/>
  <c r="F14" i="39"/>
  <c r="H14" i="39"/>
  <c r="AB14" i="39" s="1"/>
  <c r="H30" i="40"/>
  <c r="AB30" i="40"/>
  <c r="F33" i="40"/>
  <c r="H33" i="40"/>
  <c r="U33" i="40"/>
  <c r="J35" i="40"/>
  <c r="J37" i="40"/>
  <c r="AC37" i="40"/>
  <c r="H13" i="40"/>
  <c r="J13" i="40"/>
  <c r="W13" i="40"/>
  <c r="F13" i="40"/>
  <c r="F14" i="37"/>
  <c r="AA14" i="37" s="1"/>
  <c r="S14" i="37"/>
  <c r="F27" i="37"/>
  <c r="F13" i="39"/>
  <c r="J13" i="39"/>
  <c r="W13" i="39" s="1"/>
  <c r="H13" i="39"/>
  <c r="H14" i="40"/>
  <c r="AB14" i="40"/>
  <c r="J14" i="40"/>
  <c r="W14" i="40"/>
  <c r="F14" i="40"/>
  <c r="AA14" i="40"/>
  <c r="J14" i="37"/>
  <c r="W14" i="37" s="1"/>
  <c r="AC14" i="37"/>
  <c r="J27" i="37"/>
  <c r="AC27" i="37"/>
  <c r="U46" i="33"/>
  <c r="J36" i="37"/>
  <c r="AC36" i="37"/>
  <c r="J10" i="36"/>
  <c r="AC10" i="36" s="1"/>
  <c r="S11" i="36"/>
  <c r="W29" i="33"/>
  <c r="AC28" i="21"/>
  <c r="BA586" i="3"/>
  <c r="AZ586" i="3" s="1"/>
  <c r="F17" i="21"/>
  <c r="AA17" i="21"/>
  <c r="H17" i="21"/>
  <c r="AB17" i="21" s="1"/>
  <c r="F15" i="21"/>
  <c r="S15" i="21"/>
  <c r="J41" i="39"/>
  <c r="W41" i="39" s="1"/>
  <c r="AC45" i="39"/>
  <c r="U36" i="39"/>
  <c r="S35" i="39"/>
  <c r="G536" i="3"/>
  <c r="G531" i="3"/>
  <c r="G528" i="3"/>
  <c r="G514" i="3"/>
  <c r="G504" i="3"/>
  <c r="G500" i="3"/>
  <c r="G584" i="3"/>
  <c r="G580" i="3"/>
  <c r="G576" i="3"/>
  <c r="G572" i="3"/>
  <c r="G564" i="3"/>
  <c r="G560" i="3"/>
  <c r="G554" i="3"/>
  <c r="G550" i="3"/>
  <c r="BL584" i="3"/>
  <c r="BL580" i="3"/>
  <c r="BL576" i="3"/>
  <c r="BL572" i="3"/>
  <c r="BL568" i="3"/>
  <c r="BL564" i="3"/>
  <c r="BL546" i="3"/>
  <c r="BL542" i="3"/>
  <c r="BL512" i="3"/>
  <c r="BL506" i="3"/>
  <c r="BL494" i="3"/>
  <c r="BL582" i="3"/>
  <c r="AZ582" i="3" s="1"/>
  <c r="BL578" i="3"/>
  <c r="BL574" i="3"/>
  <c r="BL570" i="3"/>
  <c r="AZ570" i="3" s="1"/>
  <c r="BL566" i="3"/>
  <c r="BL552" i="3"/>
  <c r="BL544" i="3"/>
  <c r="G529" i="3"/>
  <c r="G525" i="3"/>
  <c r="BL510" i="3"/>
  <c r="BL504" i="3"/>
  <c r="G493" i="3"/>
  <c r="BA584" i="3"/>
  <c r="BA582" i="3"/>
  <c r="BA580" i="3"/>
  <c r="AZ580" i="3"/>
  <c r="BA578" i="3"/>
  <c r="AZ578" i="3"/>
  <c r="BA576" i="3"/>
  <c r="AZ576" i="3"/>
  <c r="BA574" i="3"/>
  <c r="AZ574" i="3"/>
  <c r="BA572" i="3"/>
  <c r="AZ572" i="3"/>
  <c r="BA570" i="3"/>
  <c r="BA568" i="3"/>
  <c r="AZ568" i="3"/>
  <c r="BA564" i="3"/>
  <c r="AZ564" i="3" s="1"/>
  <c r="BA560" i="3"/>
  <c r="BA558" i="3"/>
  <c r="BA554" i="3"/>
  <c r="BA548" i="3"/>
  <c r="AZ548" i="3" s="1"/>
  <c r="BA538" i="3"/>
  <c r="BA530" i="3"/>
  <c r="BA526" i="3"/>
  <c r="AZ526" i="3" s="1"/>
  <c r="BA522" i="3"/>
  <c r="BA520" i="3"/>
  <c r="BA516" i="3"/>
  <c r="BA510" i="3"/>
  <c r="AZ510" i="3" s="1"/>
  <c r="BA506" i="3"/>
  <c r="AZ506" i="3" s="1"/>
  <c r="BA504" i="3"/>
  <c r="BA500" i="3"/>
  <c r="BA498" i="3"/>
  <c r="BA494" i="3"/>
  <c r="AZ494" i="3" s="1"/>
  <c r="BA587" i="3"/>
  <c r="BA583" i="3"/>
  <c r="BA581" i="3"/>
  <c r="AZ581" i="3"/>
  <c r="BA579" i="3"/>
  <c r="BA577" i="3"/>
  <c r="BA575" i="3"/>
  <c r="AZ575" i="3" s="1"/>
  <c r="BA573" i="3"/>
  <c r="AZ573" i="3" s="1"/>
  <c r="BA571" i="3"/>
  <c r="BA567" i="3"/>
  <c r="BA565" i="3"/>
  <c r="AZ565" i="3" s="1"/>
  <c r="BA559" i="3"/>
  <c r="BA555" i="3"/>
  <c r="BA545" i="3"/>
  <c r="BA539" i="3"/>
  <c r="BA529" i="3"/>
  <c r="BA523" i="3"/>
  <c r="BA513" i="3"/>
  <c r="BA511" i="3"/>
  <c r="BA503" i="3"/>
  <c r="BA501" i="3"/>
  <c r="BA495" i="3"/>
  <c r="BA493" i="3"/>
  <c r="G583" i="3"/>
  <c r="G581" i="3"/>
  <c r="G579" i="3"/>
  <c r="G577" i="3"/>
  <c r="G575" i="3"/>
  <c r="G573" i="3"/>
  <c r="G571" i="3"/>
  <c r="G567" i="3"/>
  <c r="G565" i="3"/>
  <c r="G563" i="3"/>
  <c r="BA557" i="3"/>
  <c r="AZ557" i="3"/>
  <c r="AC557" i="3"/>
  <c r="BQ557" i="3"/>
  <c r="BL557" i="3"/>
  <c r="BQ583" i="3"/>
  <c r="BL583" i="3"/>
  <c r="AZ583" i="3"/>
  <c r="BQ581" i="3"/>
  <c r="BL581" i="3" s="1"/>
  <c r="BQ579" i="3"/>
  <c r="BL579" i="3"/>
  <c r="AZ579" i="3" s="1"/>
  <c r="BQ577" i="3"/>
  <c r="BL577" i="3"/>
  <c r="AZ577" i="3"/>
  <c r="BQ575" i="3"/>
  <c r="BL575" i="3" s="1"/>
  <c r="BQ573" i="3"/>
  <c r="BL573" i="3"/>
  <c r="BQ571" i="3"/>
  <c r="BL571" i="3"/>
  <c r="AZ571" i="3"/>
  <c r="BQ569" i="3"/>
  <c r="BQ567" i="3"/>
  <c r="BQ565" i="3"/>
  <c r="BL565" i="3"/>
  <c r="BQ563" i="3"/>
  <c r="BL563" i="3"/>
  <c r="BQ561" i="3"/>
  <c r="BQ559" i="3"/>
  <c r="BL559" i="3"/>
  <c r="G555" i="3"/>
  <c r="G553" i="3"/>
  <c r="G549" i="3"/>
  <c r="G547" i="3"/>
  <c r="G537" i="3"/>
  <c r="BQ555" i="3"/>
  <c r="BQ553" i="3"/>
  <c r="BL553" i="3"/>
  <c r="BQ551" i="3"/>
  <c r="BL551" i="3"/>
  <c r="BQ549" i="3"/>
  <c r="BQ547" i="3"/>
  <c r="BQ545" i="3"/>
  <c r="BQ543" i="3"/>
  <c r="BQ541" i="3"/>
  <c r="BL541" i="3"/>
  <c r="BQ539" i="3"/>
  <c r="BQ537" i="3"/>
  <c r="BQ535" i="3"/>
  <c r="BQ533" i="3"/>
  <c r="BL533" i="3"/>
  <c r="BQ531" i="3"/>
  <c r="BQ529" i="3"/>
  <c r="BQ527" i="3"/>
  <c r="BQ525" i="3"/>
  <c r="BL525" i="3"/>
  <c r="BQ523" i="3"/>
  <c r="BA521" i="3"/>
  <c r="AC521" i="3"/>
  <c r="G521" i="3"/>
  <c r="BQ521" i="3"/>
  <c r="G513" i="3"/>
  <c r="G511" i="3"/>
  <c r="BQ519" i="3"/>
  <c r="BQ517" i="3"/>
  <c r="BQ515" i="3"/>
  <c r="BL515" i="3"/>
  <c r="BQ513" i="3"/>
  <c r="BL513" i="3"/>
  <c r="AZ513" i="3"/>
  <c r="BQ511" i="3"/>
  <c r="BA509" i="3"/>
  <c r="AZ509" i="3" s="1"/>
  <c r="AC509" i="3"/>
  <c r="BQ509" i="3"/>
  <c r="BL509" i="3"/>
  <c r="BL508" i="3"/>
  <c r="G507" i="3"/>
  <c r="G505" i="3"/>
  <c r="G503" i="3"/>
  <c r="G499" i="3"/>
  <c r="G497" i="3"/>
  <c r="G495" i="3"/>
  <c r="BQ507" i="3"/>
  <c r="BQ505" i="3"/>
  <c r="BQ503" i="3"/>
  <c r="BL503" i="3" s="1"/>
  <c r="BQ501" i="3"/>
  <c r="BL501" i="3"/>
  <c r="BQ499" i="3"/>
  <c r="BQ497" i="3"/>
  <c r="BL497" i="3"/>
  <c r="BQ495" i="3"/>
  <c r="BQ493" i="3"/>
  <c r="BL493" i="3" s="1"/>
  <c r="AZ584"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W25" i="21" s="1"/>
  <c r="AC25" i="21"/>
  <c r="E125" i="33"/>
  <c r="F125" i="33"/>
  <c r="H43" i="33"/>
  <c r="U43" i="33" s="1"/>
  <c r="AB43" i="33"/>
  <c r="H17" i="37"/>
  <c r="U17" i="37"/>
  <c r="AB27" i="37"/>
  <c r="U32" i="33"/>
  <c r="F39" i="33"/>
  <c r="AA39" i="33"/>
  <c r="E123" i="33"/>
  <c r="F123" i="33" s="1"/>
  <c r="G123" i="33" s="1"/>
  <c r="H123" i="33" s="1"/>
  <c r="I123" i="33" s="1"/>
  <c r="J123" i="33" s="1"/>
  <c r="K123" i="33" s="1"/>
  <c r="L123" i="33" s="1"/>
  <c r="M123" i="33" s="1"/>
  <c r="F42" i="33"/>
  <c r="AA42" i="33"/>
  <c r="F14" i="36"/>
  <c r="AA14" i="36"/>
  <c r="F22" i="36"/>
  <c r="S22" i="36"/>
  <c r="F26" i="36"/>
  <c r="AA26" i="36" s="1"/>
  <c r="S26" i="36"/>
  <c r="F10" i="35"/>
  <c r="S10" i="35" s="1"/>
  <c r="H24" i="35"/>
  <c r="AB24" i="35" s="1"/>
  <c r="H23" i="37"/>
  <c r="AB23" i="37"/>
  <c r="J32" i="37"/>
  <c r="AC32" i="37" s="1"/>
  <c r="F36" i="37"/>
  <c r="AA36" i="37"/>
  <c r="F37" i="37"/>
  <c r="AA37" i="37" s="1"/>
  <c r="F31" i="40"/>
  <c r="AA31" i="40"/>
  <c r="H31" i="40"/>
  <c r="U31" i="40" s="1"/>
  <c r="J36" i="40"/>
  <c r="W36" i="40"/>
  <c r="H19" i="37"/>
  <c r="AB19" i="37" s="1"/>
  <c r="H42" i="33"/>
  <c r="AB42" i="33"/>
  <c r="G125" i="33"/>
  <c r="J43" i="33"/>
  <c r="AC43" i="33"/>
  <c r="U14" i="40"/>
  <c r="U33" i="37"/>
  <c r="AC45" i="33"/>
  <c r="U19" i="21"/>
  <c r="W44" i="21"/>
  <c r="U26" i="21"/>
  <c r="AC46" i="21"/>
  <c r="U12" i="21"/>
  <c r="AB38" i="21"/>
  <c r="F43" i="33"/>
  <c r="AA43" i="33"/>
  <c r="W16" i="35"/>
  <c r="W40" i="37"/>
  <c r="G107" i="37"/>
  <c r="H107" i="37"/>
  <c r="I107" i="37"/>
  <c r="J107" i="37"/>
  <c r="K107" i="37" s="1"/>
  <c r="L107" i="37" s="1"/>
  <c r="M107" i="37" s="1"/>
  <c r="H37" i="21"/>
  <c r="U37" i="21" s="1"/>
  <c r="S42" i="21"/>
  <c r="F36" i="35"/>
  <c r="S36" i="35"/>
  <c r="J9" i="37"/>
  <c r="W9" i="37" s="1"/>
  <c r="J12" i="37"/>
  <c r="W12" i="37" s="1"/>
  <c r="H12" i="37"/>
  <c r="AB12" i="37" s="1"/>
  <c r="F12" i="37"/>
  <c r="S12" i="37" s="1"/>
  <c r="F15" i="37"/>
  <c r="AA15" i="37"/>
  <c r="E94" i="37"/>
  <c r="F31" i="37"/>
  <c r="S31" i="37"/>
  <c r="F12" i="39"/>
  <c r="J42" i="39"/>
  <c r="AC42" i="39" s="1"/>
  <c r="H21" i="40"/>
  <c r="AB21" i="40"/>
  <c r="AC12" i="37"/>
  <c r="F94" i="37"/>
  <c r="G94" i="37"/>
  <c r="H94" i="37"/>
  <c r="I94" i="37"/>
  <c r="J94" i="37" s="1"/>
  <c r="K94" i="37" s="1"/>
  <c r="L94" i="37"/>
  <c r="M94" i="37" s="1"/>
  <c r="H31" i="37"/>
  <c r="U31" i="37"/>
  <c r="F71" i="37"/>
  <c r="G71" i="37" s="1"/>
  <c r="J15" i="37"/>
  <c r="W15" i="37"/>
  <c r="AT6" i="3"/>
  <c r="AA25" i="21"/>
  <c r="H19" i="40"/>
  <c r="U19" i="40"/>
  <c r="F88" i="40"/>
  <c r="G88" i="40" s="1"/>
  <c r="F19" i="40"/>
  <c r="S19" i="40"/>
  <c r="S14" i="40"/>
  <c r="AC13" i="40"/>
  <c r="AB33" i="40"/>
  <c r="W23" i="39"/>
  <c r="AC43" i="39"/>
  <c r="W43" i="39"/>
  <c r="G100" i="39"/>
  <c r="H37" i="39"/>
  <c r="AB37" i="39"/>
  <c r="H25" i="39"/>
  <c r="U25" i="39" s="1"/>
  <c r="AB25" i="39"/>
  <c r="J25" i="39"/>
  <c r="F25" i="39"/>
  <c r="AA25" i="39" s="1"/>
  <c r="F15" i="39"/>
  <c r="AA15" i="39" s="1"/>
  <c r="H15" i="39"/>
  <c r="U15" i="39" s="1"/>
  <c r="J15" i="39"/>
  <c r="W15" i="39" s="1"/>
  <c r="H41" i="39"/>
  <c r="AB41" i="39" s="1"/>
  <c r="W27" i="39"/>
  <c r="AB34"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A118" i="9"/>
  <c r="A4" i="52"/>
  <c r="B41" i="72" s="1"/>
  <c r="J11" i="39"/>
  <c r="W11" i="39" s="1"/>
  <c r="F11" i="39"/>
  <c r="AA11" i="39"/>
  <c r="S11" i="39"/>
  <c r="G4" i="4"/>
  <c r="I4" i="4"/>
  <c r="A2" i="9"/>
  <c r="F61" i="43"/>
  <c r="H64" i="43" s="1"/>
  <c r="AZ20" i="3"/>
  <c r="AZ28" i="3"/>
  <c r="AZ32" i="3"/>
  <c r="AZ546" i="3"/>
  <c r="G546" i="3"/>
  <c r="G303" i="3"/>
  <c r="BL304" i="3"/>
  <c r="AZ304" i="3" s="1"/>
  <c r="G305" i="3"/>
  <c r="BL306" i="3"/>
  <c r="BA308" i="3"/>
  <c r="AZ308" i="3"/>
  <c r="BA309" i="3"/>
  <c r="BL309" i="3"/>
  <c r="G310" i="3"/>
  <c r="BA311" i="3"/>
  <c r="G319" i="3"/>
  <c r="BL320" i="3"/>
  <c r="G321" i="3"/>
  <c r="BL322" i="3"/>
  <c r="BA324" i="3"/>
  <c r="AZ324" i="3"/>
  <c r="BA325" i="3"/>
  <c r="BL325" i="3"/>
  <c r="G326" i="3"/>
  <c r="BA327" i="3"/>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AZ391" i="3" s="1"/>
  <c r="BA393" i="3"/>
  <c r="AZ393" i="3"/>
  <c r="BA394" i="3"/>
  <c r="BL394" i="3"/>
  <c r="AZ394" i="3" s="1"/>
  <c r="G113" i="3"/>
  <c r="BA115" i="3"/>
  <c r="AZ115" i="3"/>
  <c r="BL116" i="3"/>
  <c r="AZ116" i="3" s="1"/>
  <c r="G117" i="3"/>
  <c r="BA119" i="3"/>
  <c r="AZ119" i="3"/>
  <c r="BL120" i="3"/>
  <c r="G121" i="3"/>
  <c r="BA123" i="3"/>
  <c r="BL124" i="3"/>
  <c r="G125" i="3"/>
  <c r="BA127" i="3"/>
  <c r="BL128" i="3"/>
  <c r="G129" i="3"/>
  <c r="BA131" i="3"/>
  <c r="AZ131" i="3" s="1"/>
  <c r="BL132" i="3"/>
  <c r="AZ132" i="3"/>
  <c r="G133" i="3"/>
  <c r="BA135" i="3"/>
  <c r="AZ135" i="3"/>
  <c r="BL136" i="3"/>
  <c r="AZ136" i="3" s="1"/>
  <c r="G137" i="3"/>
  <c r="BA139" i="3"/>
  <c r="AZ139" i="3"/>
  <c r="BL140" i="3"/>
  <c r="AZ140" i="3"/>
  <c r="G141" i="3"/>
  <c r="BA143" i="3"/>
  <c r="AZ143" i="3"/>
  <c r="BL144" i="3"/>
  <c r="AZ144" i="3" s="1"/>
  <c r="G145" i="3"/>
  <c r="BA147" i="3"/>
  <c r="AZ147" i="3"/>
  <c r="BL148" i="3"/>
  <c r="AZ148" i="3" s="1"/>
  <c r="G149" i="3"/>
  <c r="BA151" i="3"/>
  <c r="AZ151" i="3"/>
  <c r="BL152" i="3"/>
  <c r="G153" i="3"/>
  <c r="BA155" i="3"/>
  <c r="AZ155" i="3"/>
  <c r="BL156" i="3"/>
  <c r="AZ156" i="3"/>
  <c r="G157" i="3"/>
  <c r="BA159" i="3"/>
  <c r="AZ159" i="3" s="1"/>
  <c r="BL160" i="3"/>
  <c r="G161" i="3"/>
  <c r="BA163" i="3"/>
  <c r="AZ163" i="3" s="1"/>
  <c r="BL164" i="3"/>
  <c r="AZ164" i="3"/>
  <c r="G165" i="3"/>
  <c r="BA167" i="3"/>
  <c r="AZ167" i="3"/>
  <c r="BL168" i="3"/>
  <c r="AZ168" i="3" s="1"/>
  <c r="G169" i="3"/>
  <c r="BA171" i="3"/>
  <c r="AZ171" i="3"/>
  <c r="BL172" i="3"/>
  <c r="AZ172" i="3" s="1"/>
  <c r="G173" i="3"/>
  <c r="BA175" i="3"/>
  <c r="AZ175" i="3"/>
  <c r="BL176" i="3"/>
  <c r="AZ176" i="3" s="1"/>
  <c r="G177" i="3"/>
  <c r="BA179" i="3"/>
  <c r="AZ179" i="3"/>
  <c r="BL180" i="3"/>
  <c r="AZ180" i="3" s="1"/>
  <c r="G181" i="3"/>
  <c r="BA183" i="3"/>
  <c r="AZ183" i="3"/>
  <c r="BL184" i="3"/>
  <c r="G185" i="3"/>
  <c r="BA187" i="3"/>
  <c r="AZ187" i="3"/>
  <c r="BL188" i="3"/>
  <c r="AZ188" i="3"/>
  <c r="G189" i="3"/>
  <c r="BA191" i="3"/>
  <c r="AZ191" i="3" s="1"/>
  <c r="BL192" i="3"/>
  <c r="G193" i="3"/>
  <c r="BA195" i="3"/>
  <c r="AZ195" i="3" s="1"/>
  <c r="BL196" i="3"/>
  <c r="AZ196" i="3"/>
  <c r="G197" i="3"/>
  <c r="BA199" i="3"/>
  <c r="AZ199" i="3"/>
  <c r="BL200" i="3"/>
  <c r="AZ200" i="3" s="1"/>
  <c r="G201" i="3"/>
  <c r="BA203" i="3"/>
  <c r="AZ203" i="3"/>
  <c r="BL204" i="3"/>
  <c r="AZ204" i="3"/>
  <c r="AZ43" i="3"/>
  <c r="AZ47" i="3"/>
  <c r="AZ51" i="3"/>
  <c r="AZ55" i="3"/>
  <c r="AZ63" i="3"/>
  <c r="AZ71" i="3"/>
  <c r="AZ79" i="3"/>
  <c r="AZ83" i="3"/>
  <c r="AZ152" i="3"/>
  <c r="AZ160" i="3"/>
  <c r="AZ184" i="3"/>
  <c r="AZ192" i="3"/>
  <c r="AZ85" i="3"/>
  <c r="AZ89" i="3"/>
  <c r="AZ93" i="3"/>
  <c r="AZ97" i="3"/>
  <c r="AZ101" i="3"/>
  <c r="AZ109" i="3"/>
  <c r="AZ128" i="3"/>
  <c r="G534" i="3"/>
  <c r="G530" i="3"/>
  <c r="G512" i="3"/>
  <c r="G506" i="3"/>
  <c r="G498" i="3"/>
  <c r="G16" i="3"/>
  <c r="G15" i="3"/>
  <c r="BA304" i="3"/>
  <c r="BA305" i="3"/>
  <c r="AZ305" i="3" s="1"/>
  <c r="BL305" i="3"/>
  <c r="G306" i="3"/>
  <c r="G309" i="3"/>
  <c r="BL310" i="3"/>
  <c r="AZ310" i="3" s="1"/>
  <c r="BA312" i="3"/>
  <c r="AZ312" i="3"/>
  <c r="BA313" i="3"/>
  <c r="AZ313" i="3" s="1"/>
  <c r="BL313" i="3"/>
  <c r="G314" i="3"/>
  <c r="G317" i="3"/>
  <c r="BL318" i="3"/>
  <c r="AZ318" i="3" s="1"/>
  <c r="BA320" i="3"/>
  <c r="AZ320" i="3"/>
  <c r="BA321" i="3"/>
  <c r="AZ321" i="3"/>
  <c r="BL321" i="3"/>
  <c r="G322" i="3"/>
  <c r="G325" i="3"/>
  <c r="BL326" i="3"/>
  <c r="BA328" i="3"/>
  <c r="AZ328" i="3"/>
  <c r="BA329" i="3"/>
  <c r="BL329" i="3"/>
  <c r="G330" i="3"/>
  <c r="G333" i="3"/>
  <c r="BL334" i="3"/>
  <c r="AZ334" i="3" s="1"/>
  <c r="BA336" i="3"/>
  <c r="BA337" i="3"/>
  <c r="AZ337" i="3"/>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BL372" i="3"/>
  <c r="AZ372" i="3" s="1"/>
  <c r="G373" i="3"/>
  <c r="G376" i="3"/>
  <c r="BL377" i="3"/>
  <c r="BL379" i="3"/>
  <c r="AZ379" i="3" s="1"/>
  <c r="BA381" i="3"/>
  <c r="AZ381" i="3" s="1"/>
  <c r="BA382" i="3"/>
  <c r="BL382" i="3"/>
  <c r="AZ382" i="3" s="1"/>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s="1"/>
  <c r="BL307" i="3"/>
  <c r="AZ307" i="3"/>
  <c r="G308" i="3"/>
  <c r="BA310" i="3"/>
  <c r="BL311" i="3"/>
  <c r="AZ311" i="3"/>
  <c r="G312" i="3"/>
  <c r="BA314" i="3"/>
  <c r="AZ314" i="3"/>
  <c r="BL315" i="3"/>
  <c r="AZ315" i="3" s="1"/>
  <c r="G316" i="3"/>
  <c r="BA318" i="3"/>
  <c r="BL319" i="3"/>
  <c r="G320" i="3"/>
  <c r="BA322" i="3"/>
  <c r="AZ322" i="3"/>
  <c r="BL323" i="3"/>
  <c r="AZ323" i="3"/>
  <c r="G324" i="3"/>
  <c r="BA326" i="3"/>
  <c r="BL327" i="3"/>
  <c r="AZ327" i="3"/>
  <c r="G328" i="3"/>
  <c r="BA330" i="3"/>
  <c r="AZ330" i="3"/>
  <c r="BL331" i="3"/>
  <c r="AZ331" i="3"/>
  <c r="G332" i="3"/>
  <c r="BA334" i="3"/>
  <c r="BL335" i="3"/>
  <c r="AZ335" i="3" s="1"/>
  <c r="G336" i="3"/>
  <c r="BA338" i="3"/>
  <c r="AZ338" i="3"/>
  <c r="BL339" i="3"/>
  <c r="AZ339" i="3" s="1"/>
  <c r="G340" i="3"/>
  <c r="BL343" i="3"/>
  <c r="AZ343" i="3" s="1"/>
  <c r="G344" i="3"/>
  <c r="G348" i="3"/>
  <c r="G355" i="3"/>
  <c r="AZ218" i="3"/>
  <c r="AZ222" i="3"/>
  <c r="AZ303"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c r="BL370" i="3"/>
  <c r="G371" i="3"/>
  <c r="BA373" i="3"/>
  <c r="AZ373" i="3"/>
  <c r="BL374" i="3"/>
  <c r="AZ374" i="3"/>
  <c r="G375" i="3"/>
  <c r="BA377" i="3"/>
  <c r="AZ377" i="3"/>
  <c r="AZ229" i="3"/>
  <c r="AZ233" i="3"/>
  <c r="AZ237" i="3"/>
  <c r="AZ241" i="3"/>
  <c r="AZ245" i="3"/>
  <c r="AZ249" i="3"/>
  <c r="AZ253" i="3"/>
  <c r="AZ257" i="3"/>
  <c r="AZ265" i="3"/>
  <c r="AZ269" i="3"/>
  <c r="AZ273" i="3"/>
  <c r="BA379" i="3"/>
  <c r="BL380" i="3"/>
  <c r="G381" i="3"/>
  <c r="BA383" i="3"/>
  <c r="BL384" i="3"/>
  <c r="G385" i="3"/>
  <c r="BA387" i="3"/>
  <c r="AZ387" i="3"/>
  <c r="BL388" i="3"/>
  <c r="AZ388" i="3" s="1"/>
  <c r="G389" i="3"/>
  <c r="BA391" i="3"/>
  <c r="BL392" i="3"/>
  <c r="G393" i="3"/>
  <c r="AZ275" i="3"/>
  <c r="AZ279" i="3"/>
  <c r="AZ283" i="3"/>
  <c r="AZ291" i="3"/>
  <c r="AZ295" i="3"/>
  <c r="AZ299" i="3"/>
  <c r="BH5" i="3"/>
  <c r="AZ309" i="3"/>
  <c r="AZ317" i="3"/>
  <c r="AZ333" i="3"/>
  <c r="AZ341" i="3"/>
  <c r="BQ5" i="3"/>
  <c r="G538" i="3"/>
  <c r="G520" i="3"/>
  <c r="G502" i="3"/>
  <c r="BG5" i="3"/>
  <c r="G17" i="3"/>
  <c r="BA17" i="3"/>
  <c r="BT5" i="3"/>
  <c r="AZ350" i="3"/>
  <c r="AZ352" i="3"/>
  <c r="AZ356" i="3"/>
  <c r="AZ360" i="3"/>
  <c r="AZ368" i="3"/>
  <c r="BA15" i="3"/>
  <c r="AZ15" i="3"/>
  <c r="AZ380" i="3"/>
  <c r="G509" i="3"/>
  <c r="AZ491" i="3"/>
  <c r="AZ376" i="3"/>
  <c r="AZ390" i="3"/>
  <c r="U36" i="40"/>
  <c r="F83" i="43"/>
  <c r="H85" i="43" s="1"/>
  <c r="F50" i="43"/>
  <c r="H54" i="43" s="1"/>
  <c r="F72" i="43"/>
  <c r="H75" i="43" s="1"/>
  <c r="U17" i="39"/>
  <c r="S14" i="35"/>
  <c r="U43" i="21"/>
  <c r="U35" i="21"/>
  <c r="AC35" i="21"/>
  <c r="G10" i="1"/>
  <c r="AC11" i="39"/>
  <c r="W37" i="37"/>
  <c r="S15" i="37"/>
  <c r="J37" i="33"/>
  <c r="W37" i="33" s="1"/>
  <c r="F106" i="33"/>
  <c r="G106" i="33"/>
  <c r="H106" i="33"/>
  <c r="I106" i="33" s="1"/>
  <c r="J106" i="33" s="1"/>
  <c r="K106" i="33"/>
  <c r="L106" i="33" s="1"/>
  <c r="M106" i="33" s="1"/>
  <c r="J34" i="33"/>
  <c r="W34" i="33"/>
  <c r="W12" i="36"/>
  <c r="H20" i="36"/>
  <c r="U20" i="36"/>
  <c r="J20" i="36"/>
  <c r="W20" i="36" s="1"/>
  <c r="W24" i="36"/>
  <c r="J27" i="36"/>
  <c r="W27" i="36" s="1"/>
  <c r="AC33" i="40"/>
  <c r="F111" i="40"/>
  <c r="G111" i="40"/>
  <c r="H111" i="40"/>
  <c r="I111" i="40" s="1"/>
  <c r="J111" i="40" s="1"/>
  <c r="K111" i="40"/>
  <c r="L111" i="40"/>
  <c r="M111" i="40" s="1"/>
  <c r="H35" i="40"/>
  <c r="U35" i="40" s="1"/>
  <c r="AB35" i="40"/>
  <c r="AC29" i="35"/>
  <c r="H35" i="37"/>
  <c r="U35" i="37"/>
  <c r="AC14" i="35"/>
  <c r="H20" i="35"/>
  <c r="U20" i="35"/>
  <c r="F20" i="35"/>
  <c r="S20" i="35" s="1"/>
  <c r="AA20" i="35"/>
  <c r="AB29" i="36"/>
  <c r="U29" i="36"/>
  <c r="H32" i="37"/>
  <c r="AB32" i="37" s="1"/>
  <c r="F96" i="37"/>
  <c r="H27" i="40"/>
  <c r="AB27" i="40" s="1"/>
  <c r="U27" i="40"/>
  <c r="J27" i="40"/>
  <c r="AC27" i="40"/>
  <c r="F27" i="40"/>
  <c r="AA27" i="40" s="1"/>
  <c r="S27" i="40"/>
  <c r="J30" i="40"/>
  <c r="AC30" i="40"/>
  <c r="F30" i="40"/>
  <c r="S30" i="40" s="1"/>
  <c r="AA30" i="40"/>
  <c r="S31" i="39"/>
  <c r="S11" i="40"/>
  <c r="E98" i="40"/>
  <c r="F98" i="40" s="1"/>
  <c r="G98" i="40" s="1"/>
  <c r="H98" i="40"/>
  <c r="I98" i="40" s="1"/>
  <c r="J98" i="40" s="1"/>
  <c r="K98" i="40" s="1"/>
  <c r="L98" i="40" s="1"/>
  <c r="M98" i="40" s="1"/>
  <c r="F10" i="33"/>
  <c r="S10" i="33" s="1"/>
  <c r="F34" i="33"/>
  <c r="AA34" i="33" s="1"/>
  <c r="S34" i="33"/>
  <c r="H34" i="33"/>
  <c r="U34" i="33" s="1"/>
  <c r="F35" i="33"/>
  <c r="AA35" i="33" s="1"/>
  <c r="S35" i="33"/>
  <c r="AC38" i="39"/>
  <c r="F39" i="39"/>
  <c r="S39" i="39" s="1"/>
  <c r="J39" i="39"/>
  <c r="AC39" i="39" s="1"/>
  <c r="E96" i="39"/>
  <c r="F96" i="39" s="1"/>
  <c r="G96" i="39" s="1"/>
  <c r="AZ353" i="3"/>
  <c r="AZ354" i="3"/>
  <c r="AZ386" i="3"/>
  <c r="C40" i="11"/>
  <c r="AZ215" i="3"/>
  <c r="AZ223" i="3"/>
  <c r="AZ227" i="3"/>
  <c r="AZ232" i="3"/>
  <c r="AZ235" i="3"/>
  <c r="AZ240" i="3"/>
  <c r="AZ243" i="3"/>
  <c r="AZ248" i="3"/>
  <c r="AZ259" i="3"/>
  <c r="AZ268" i="3"/>
  <c r="AZ271" i="3"/>
  <c r="AZ288" i="3"/>
  <c r="AZ296" i="3"/>
  <c r="AZ117" i="3"/>
  <c r="AZ130" i="3"/>
  <c r="AZ133" i="3"/>
  <c r="AZ31" i="3"/>
  <c r="AZ33" i="3"/>
  <c r="AZ37" i="3"/>
  <c r="AZ42" i="3"/>
  <c r="AZ45" i="3"/>
  <c r="AZ50" i="3"/>
  <c r="AZ53" i="3"/>
  <c r="AZ58" i="3"/>
  <c r="AZ61" i="3"/>
  <c r="AZ66" i="3"/>
  <c r="AZ69" i="3"/>
  <c r="AZ82" i="3"/>
  <c r="AZ94" i="3"/>
  <c r="AZ102" i="3"/>
  <c r="AZ110" i="3"/>
  <c r="F23" i="39"/>
  <c r="AA23" i="39"/>
  <c r="H27" i="36"/>
  <c r="U27" i="36" s="1"/>
  <c r="F27" i="36"/>
  <c r="AA27" i="36" s="1"/>
  <c r="F32" i="37"/>
  <c r="AA32" i="37"/>
  <c r="G96" i="37"/>
  <c r="H96" i="37"/>
  <c r="I96" i="37" s="1"/>
  <c r="J96" i="37" s="1"/>
  <c r="K96" i="37" s="1"/>
  <c r="L96" i="37" s="1"/>
  <c r="M96" i="37" s="1"/>
  <c r="F20" i="36"/>
  <c r="AA20" i="36"/>
  <c r="H23" i="39"/>
  <c r="U23" i="39" s="1"/>
  <c r="D48" i="9"/>
  <c r="M52" i="9" s="1"/>
  <c r="K9" i="1"/>
  <c r="M9" i="1" s="1"/>
  <c r="D93" i="9"/>
  <c r="K6" i="1"/>
  <c r="AP6" i="1" s="1"/>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BL14" i="3"/>
  <c r="AZ14" i="3" s="1"/>
  <c r="AZ266" i="3"/>
  <c r="W28" i="37"/>
  <c r="S19" i="39"/>
  <c r="F12" i="33"/>
  <c r="H12" i="39"/>
  <c r="U12" i="39" s="1"/>
  <c r="AB12" i="39"/>
  <c r="F39" i="40"/>
  <c r="S39" i="40" s="1"/>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s="1"/>
  <c r="AZ84" i="3"/>
  <c r="AZ88" i="3"/>
  <c r="AZ107" i="3"/>
  <c r="AZ111" i="3"/>
  <c r="K12" i="1"/>
  <c r="M12" i="1" s="1"/>
  <c r="S13" i="1"/>
  <c r="AR13" i="1" s="1"/>
  <c r="R13" i="1"/>
  <c r="J51" i="67"/>
  <c r="C42" i="1"/>
  <c r="AC34" i="33"/>
  <c r="B41" i="1"/>
  <c r="F48" i="9" s="1"/>
  <c r="O52" i="9" s="1"/>
  <c r="AB37" i="40"/>
  <c r="S35" i="40"/>
  <c r="AC36" i="40"/>
  <c r="S23" i="40"/>
  <c r="AC17" i="40"/>
  <c r="AC15" i="40"/>
  <c r="AA19" i="40"/>
  <c r="S28" i="40"/>
  <c r="U21" i="40"/>
  <c r="AB19" i="40"/>
  <c r="U37" i="39"/>
  <c r="U35" i="39"/>
  <c r="F32" i="39"/>
  <c r="S32" i="39" s="1"/>
  <c r="AB27" i="39"/>
  <c r="U31" i="39"/>
  <c r="J21" i="39"/>
  <c r="W21" i="39" s="1"/>
  <c r="F21" i="39"/>
  <c r="G94" i="39"/>
  <c r="H21" i="39"/>
  <c r="AB21" i="39" s="1"/>
  <c r="U19" i="39"/>
  <c r="S17" i="39"/>
  <c r="S15" i="39"/>
  <c r="S9" i="39"/>
  <c r="AC13" i="39"/>
  <c r="S23" i="36"/>
  <c r="U13" i="36"/>
  <c r="U26" i="36"/>
  <c r="AA34" i="36"/>
  <c r="AC26" i="36"/>
  <c r="AA22" i="36"/>
  <c r="AB14" i="36"/>
  <c r="U22" i="36"/>
  <c r="S16" i="36"/>
  <c r="S24" i="36"/>
  <c r="U24" i="36"/>
  <c r="U23" i="36"/>
  <c r="AB20" i="36"/>
  <c r="U16" i="36"/>
  <c r="S14" i="36"/>
  <c r="AB13" i="35"/>
  <c r="U29" i="35"/>
  <c r="AB27" i="35"/>
  <c r="U36" i="35"/>
  <c r="U32" i="35"/>
  <c r="AA33" i="35"/>
  <c r="AC30" i="35"/>
  <c r="S32" i="35"/>
  <c r="AA36" i="35"/>
  <c r="S28" i="35"/>
  <c r="U22" i="35"/>
  <c r="S22" i="35"/>
  <c r="U14" i="35"/>
  <c r="AC12" i="35"/>
  <c r="F9" i="35"/>
  <c r="S9" i="35" s="1"/>
  <c r="H9" i="35"/>
  <c r="U9" i="35" s="1"/>
  <c r="AB40" i="37"/>
  <c r="W27" i="37"/>
  <c r="AC29" i="37"/>
  <c r="U29" i="37"/>
  <c r="S32" i="37"/>
  <c r="AB31" i="37"/>
  <c r="W30" i="37"/>
  <c r="S36" i="37"/>
  <c r="AA38" i="37"/>
  <c r="U32" i="37"/>
  <c r="W38" i="37"/>
  <c r="AC35" i="37"/>
  <c r="S30" i="37"/>
  <c r="AC15" i="37"/>
  <c r="J17" i="37"/>
  <c r="W17" i="37"/>
  <c r="G73" i="37"/>
  <c r="F17" i="37"/>
  <c r="AA17" i="37"/>
  <c r="AB17" i="37"/>
  <c r="F75" i="37"/>
  <c r="G75" i="37" s="1"/>
  <c r="F19" i="37"/>
  <c r="F79" i="37"/>
  <c r="F23" i="37"/>
  <c r="S23" i="37"/>
  <c r="U23" i="37"/>
  <c r="U15" i="37"/>
  <c r="AC13" i="37"/>
  <c r="AA13" i="37"/>
  <c r="H10" i="37"/>
  <c r="AB10" i="37" s="1"/>
  <c r="F11" i="37"/>
  <c r="S11" i="37" s="1"/>
  <c r="W42" i="33"/>
  <c r="S32" i="33"/>
  <c r="AA29" i="33"/>
  <c r="W38" i="33"/>
  <c r="H41" i="33"/>
  <c r="U41" i="33" s="1"/>
  <c r="F121" i="33"/>
  <c r="G121" i="33" s="1"/>
  <c r="H121" i="33" s="1"/>
  <c r="I121" i="33"/>
  <c r="J121" i="33" s="1"/>
  <c r="K121" i="33" s="1"/>
  <c r="L121" i="33" s="1"/>
  <c r="M121" i="33" s="1"/>
  <c r="U42" i="33"/>
  <c r="S42" i="33"/>
  <c r="F36" i="33"/>
  <c r="AA36" i="33" s="1"/>
  <c r="G111" i="33"/>
  <c r="G108" i="33"/>
  <c r="H108" i="33" s="1"/>
  <c r="I108" i="33" s="1"/>
  <c r="J108" i="33"/>
  <c r="K108" i="33" s="1"/>
  <c r="L108" i="33" s="1"/>
  <c r="M108" i="33" s="1"/>
  <c r="J35" i="33"/>
  <c r="AC35" i="33" s="1"/>
  <c r="S37" i="33"/>
  <c r="S39" i="33"/>
  <c r="J32" i="33"/>
  <c r="S46" i="33"/>
  <c r="W43" i="33"/>
  <c r="S43" i="33"/>
  <c r="H27" i="33"/>
  <c r="U27" i="33" s="1"/>
  <c r="H25" i="33"/>
  <c r="F25" i="33"/>
  <c r="S25" i="33" s="1"/>
  <c r="J23" i="33"/>
  <c r="F85" i="33"/>
  <c r="H23" i="33"/>
  <c r="F81" i="33"/>
  <c r="F19" i="33"/>
  <c r="J17" i="33"/>
  <c r="AC17" i="33" s="1"/>
  <c r="F79" i="33"/>
  <c r="G79" i="33" s="1"/>
  <c r="S15" i="33"/>
  <c r="W15" i="33"/>
  <c r="J10" i="33"/>
  <c r="W10" i="33" s="1"/>
  <c r="H10" i="33"/>
  <c r="U10" i="33" s="1"/>
  <c r="AC11" i="33"/>
  <c r="W43" i="21"/>
  <c r="W36" i="21"/>
  <c r="W41" i="21"/>
  <c r="AB39" i="21"/>
  <c r="AA43" i="21"/>
  <c r="S39" i="21"/>
  <c r="AA38" i="21"/>
  <c r="AA36" i="21"/>
  <c r="AC40" i="21"/>
  <c r="J15" i="21"/>
  <c r="W15" i="21"/>
  <c r="F77" i="21"/>
  <c r="G77" i="21"/>
  <c r="F23" i="21"/>
  <c r="S23" i="21"/>
  <c r="E85" i="21"/>
  <c r="F85" i="21" s="1"/>
  <c r="G85" i="21" s="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O7" i="1" s="1"/>
  <c r="P7" i="1" s="1"/>
  <c r="G1" i="15"/>
  <c r="G1" i="69"/>
  <c r="G1" i="67"/>
  <c r="S37" i="40"/>
  <c r="W28" i="40"/>
  <c r="W34" i="40"/>
  <c r="W19" i="40"/>
  <c r="W27" i="40"/>
  <c r="S36" i="40"/>
  <c r="W37" i="40"/>
  <c r="AC14" i="40"/>
  <c r="AA15" i="40"/>
  <c r="U11" i="40"/>
  <c r="S31" i="40"/>
  <c r="U15" i="40"/>
  <c r="AB17" i="40"/>
  <c r="U8" i="40"/>
  <c r="S8" i="40"/>
  <c r="AA39" i="39"/>
  <c r="AC41" i="39"/>
  <c r="U42" i="39"/>
  <c r="U41" i="39"/>
  <c r="W25" i="39"/>
  <c r="AC25" i="39"/>
  <c r="AA13" i="39"/>
  <c r="S13" i="39"/>
  <c r="U43" i="39"/>
  <c r="AB43" i="39"/>
  <c r="AB11" i="39"/>
  <c r="U11" i="39"/>
  <c r="AA27" i="39"/>
  <c r="S27" i="39"/>
  <c r="AC17" i="39"/>
  <c r="W31" i="39"/>
  <c r="AC31" i="39"/>
  <c r="S23" i="39"/>
  <c r="AB39" i="39"/>
  <c r="W34" i="39"/>
  <c r="U38" i="39"/>
  <c r="S8" i="39"/>
  <c r="S20" i="36"/>
  <c r="AC25" i="36"/>
  <c r="W29" i="36"/>
  <c r="AC20" i="36"/>
  <c r="U25" i="36"/>
  <c r="W9" i="36"/>
  <c r="W22" i="36"/>
  <c r="W23" i="36"/>
  <c r="S9" i="36"/>
  <c r="AB20" i="35"/>
  <c r="AC25" i="35"/>
  <c r="U25" i="35"/>
  <c r="U24" i="35"/>
  <c r="S35" i="35"/>
  <c r="AA16" i="35"/>
  <c r="AA35" i="37"/>
  <c r="W36" i="37"/>
  <c r="W32" i="37"/>
  <c r="U36" i="37"/>
  <c r="U38" i="37"/>
  <c r="AB37" i="37"/>
  <c r="AC34" i="37"/>
  <c r="AB35" i="37"/>
  <c r="AA31" i="37"/>
  <c r="U19" i="37"/>
  <c r="AA29" i="37"/>
  <c r="U8" i="37"/>
  <c r="AB28" i="33"/>
  <c r="AC37" i="33"/>
  <c r="W46" i="33"/>
  <c r="U39" i="33"/>
  <c r="U38" i="33"/>
  <c r="S33" i="33"/>
  <c r="S30" i="33"/>
  <c r="AA30" i="33"/>
  <c r="AC30" i="33"/>
  <c r="U15" i="33"/>
  <c r="U37" i="33"/>
  <c r="AC28" i="33"/>
  <c r="S28" i="33"/>
  <c r="W9" i="33"/>
  <c r="W8" i="33"/>
  <c r="S44" i="21"/>
  <c r="U28" i="21"/>
  <c r="S45" i="21"/>
  <c r="I101" i="21"/>
  <c r="J101" i="21" s="1"/>
  <c r="K101" i="21" s="1"/>
  <c r="L101" i="21"/>
  <c r="M101" i="21"/>
  <c r="F33" i="21"/>
  <c r="AA33" i="21" s="1"/>
  <c r="J33" i="21"/>
  <c r="AC33" i="21" s="1"/>
  <c r="H33" i="21"/>
  <c r="AB33" i="21" s="1"/>
  <c r="F37" i="21"/>
  <c r="AA26" i="21"/>
  <c r="U40" i="21"/>
  <c r="AB31" i="21"/>
  <c r="U31" i="21"/>
  <c r="AC15" i="21"/>
  <c r="U13" i="21"/>
  <c r="AB13" i="21"/>
  <c r="S35" i="21"/>
  <c r="J37" i="21"/>
  <c r="W37" i="21" s="1"/>
  <c r="H15" i="21"/>
  <c r="U15" i="21"/>
  <c r="J17" i="21"/>
  <c r="AC17" i="21"/>
  <c r="AC19" i="21"/>
  <c r="W39" i="21"/>
  <c r="AC14" i="21"/>
  <c r="W30"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A30" i="21"/>
  <c r="W13" i="21"/>
  <c r="W42" i="21"/>
  <c r="AC45" i="21"/>
  <c r="F10" i="21"/>
  <c r="AA10" i="21" s="1"/>
  <c r="K145" i="21"/>
  <c r="W17" i="21"/>
  <c r="AA29"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AA21" i="39"/>
  <c r="S21" i="39"/>
  <c r="AC17" i="37"/>
  <c r="S17" i="37"/>
  <c r="J19" i="37"/>
  <c r="AC19" i="37" s="1"/>
  <c r="S19" i="37"/>
  <c r="AA19" i="37"/>
  <c r="AA23" i="37"/>
  <c r="J23" i="37"/>
  <c r="G79" i="37"/>
  <c r="J10" i="37"/>
  <c r="W10" i="37" s="1"/>
  <c r="G63" i="37"/>
  <c r="H11" i="37"/>
  <c r="AB11" i="37" s="1"/>
  <c r="AB41" i="33"/>
  <c r="W35" i="33"/>
  <c r="H111" i="33"/>
  <c r="I111" i="33"/>
  <c r="J111" i="33" s="1"/>
  <c r="K111" i="33" s="1"/>
  <c r="L111" i="33" s="1"/>
  <c r="M111" i="33" s="1"/>
  <c r="J36" i="33"/>
  <c r="W36" i="33" s="1"/>
  <c r="H36" i="33"/>
  <c r="U36" i="33" s="1"/>
  <c r="S36" i="33"/>
  <c r="AC32" i="33"/>
  <c r="W32" i="33"/>
  <c r="J27" i="33"/>
  <c r="U25" i="33"/>
  <c r="AB25" i="33"/>
  <c r="G87" i="33"/>
  <c r="H87" i="33"/>
  <c r="I87" i="33" s="1"/>
  <c r="J87" i="33" s="1"/>
  <c r="K87" i="33" s="1"/>
  <c r="L87" i="33" s="1"/>
  <c r="M87" i="33" s="1"/>
  <c r="J25" i="33"/>
  <c r="AC25" i="33" s="1"/>
  <c r="AB23" i="33"/>
  <c r="U23" i="33"/>
  <c r="F23" i="33"/>
  <c r="G85" i="33"/>
  <c r="AC23" i="33"/>
  <c r="W23" i="33"/>
  <c r="H19" i="33"/>
  <c r="U19" i="33" s="1"/>
  <c r="G81" i="33"/>
  <c r="H17" i="33"/>
  <c r="F17" i="33"/>
  <c r="AA17" i="33" s="1"/>
  <c r="W17" i="33"/>
  <c r="AA23" i="21"/>
  <c r="AB15" i="21"/>
  <c r="J23" i="21"/>
  <c r="W23" i="21" s="1"/>
  <c r="H23" i="21"/>
  <c r="U23" i="21" s="1"/>
  <c r="S13" i="21"/>
  <c r="D6" i="52"/>
  <c r="AP7" i="1"/>
  <c r="AB45" i="21"/>
  <c r="AB9" i="21"/>
  <c r="U9" i="21"/>
  <c r="AA32" i="21"/>
  <c r="S32" i="21"/>
  <c r="AC9" i="21"/>
  <c r="AB32" i="21"/>
  <c r="U32" i="21"/>
  <c r="AC32" i="39"/>
  <c r="W19" i="37"/>
  <c r="W23" i="37"/>
  <c r="AC23" i="37"/>
  <c r="H63" i="37"/>
  <c r="I63" i="37" s="1"/>
  <c r="J63" i="37" s="1"/>
  <c r="K63" i="37" s="1"/>
  <c r="L63" i="37" s="1"/>
  <c r="M63" i="37" s="1"/>
  <c r="J11" i="37"/>
  <c r="AC11" i="37" s="1"/>
  <c r="AB36" i="33"/>
  <c r="W27" i="33"/>
  <c r="AC27" i="33"/>
  <c r="AA23" i="33"/>
  <c r="S23" i="33"/>
  <c r="AB19" i="33"/>
  <c r="U17" i="33"/>
  <c r="AB17" i="33"/>
  <c r="AB23" i="21"/>
  <c r="H109" i="9"/>
  <c r="D16" i="53" s="1"/>
  <c r="B34" i="72" s="1"/>
  <c r="H112" i="9"/>
  <c r="H111" i="9"/>
  <c r="D126" i="9" s="1"/>
  <c r="D19" i="53"/>
  <c r="B38" i="72" s="1"/>
  <c r="AD3" i="71"/>
  <c r="J1" i="73"/>
  <c r="H69" i="43"/>
  <c r="C24" i="12"/>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D20" i="71"/>
  <c r="U20" i="71"/>
  <c r="F6" i="73"/>
  <c r="D4" i="73"/>
  <c r="F4" i="73"/>
  <c r="M6" i="67"/>
  <c r="L47" i="67"/>
  <c r="E11" i="76"/>
  <c r="E7" i="76"/>
  <c r="M26" i="15"/>
  <c r="E12" i="76"/>
  <c r="F16" i="67"/>
  <c r="M22" i="67"/>
  <c r="M22" i="15"/>
  <c r="M24" i="15"/>
  <c r="E10" i="76"/>
  <c r="AO13" i="1"/>
  <c r="M9" i="67"/>
  <c r="F7" i="67"/>
  <c r="D6" i="73"/>
  <c r="E8" i="76"/>
  <c r="M6" i="15"/>
  <c r="F13" i="67"/>
  <c r="F3" i="73"/>
  <c r="M23" i="15"/>
  <c r="J15" i="15"/>
  <c r="E9" i="76"/>
  <c r="M9" i="15"/>
  <c r="E2" i="69"/>
  <c r="F13" i="15"/>
  <c r="E13" i="76"/>
  <c r="F9" i="67"/>
  <c r="F37" i="67"/>
  <c r="F38" i="15"/>
  <c r="F40" i="15"/>
  <c r="B11" i="76"/>
  <c r="B12" i="76"/>
  <c r="F7" i="15"/>
  <c r="L47" i="15"/>
  <c r="F26" i="15"/>
  <c r="F9" i="15"/>
  <c r="M28" i="15"/>
  <c r="D3" i="73"/>
  <c r="F43" i="15"/>
  <c r="F26" i="67"/>
  <c r="F8" i="15"/>
  <c r="M24" i="67"/>
  <c r="F36" i="67"/>
  <c r="L48" i="15"/>
  <c r="F36" i="15"/>
  <c r="M28" i="67"/>
  <c r="F43" i="67"/>
  <c r="F38" i="67"/>
  <c r="M8" i="15"/>
  <c r="F5" i="73"/>
  <c r="J15" i="67"/>
  <c r="M29" i="15"/>
  <c r="B7" i="76"/>
  <c r="D7" i="73"/>
  <c r="F6" i="15"/>
  <c r="C76" i="67"/>
  <c r="B10" i="76"/>
  <c r="M23" i="67"/>
  <c r="F40" i="67"/>
  <c r="M29" i="67"/>
  <c r="M26" i="67"/>
  <c r="F20" i="31"/>
  <c r="F42" i="15"/>
  <c r="B13" i="76"/>
  <c r="F37" i="15"/>
  <c r="M8" i="67"/>
  <c r="B9" i="76"/>
  <c r="F8" i="67"/>
  <c r="F7" i="73"/>
  <c r="E2" i="68"/>
  <c r="C76" i="15"/>
  <c r="B8" i="76"/>
  <c r="D5" i="73"/>
  <c r="F6" i="67"/>
  <c r="F16" i="15"/>
  <c r="F42" i="67"/>
  <c r="U12" i="40" l="1"/>
  <c r="AB12" i="40"/>
  <c r="U32" i="40"/>
  <c r="AB32" i="40"/>
  <c r="F28" i="6"/>
  <c r="AZ516" i="3"/>
  <c r="AZ326" i="3"/>
  <c r="AZ364" i="3"/>
  <c r="AC35" i="40"/>
  <c r="W35" i="40"/>
  <c r="AB13" i="37"/>
  <c r="U13" i="37"/>
  <c r="U28" i="36"/>
  <c r="AB28" i="36"/>
  <c r="U29" i="21"/>
  <c r="AB29" i="21"/>
  <c r="U28" i="40"/>
  <c r="AB28" i="40"/>
  <c r="AB38" i="40"/>
  <c r="U38" i="40"/>
  <c r="BL545" i="3"/>
  <c r="AZ543" i="3"/>
  <c r="C16" i="71"/>
  <c r="D17" i="71"/>
  <c r="D21" i="53"/>
  <c r="B39" i="72" s="1"/>
  <c r="S17" i="33"/>
  <c r="U32" i="39"/>
  <c r="AA25" i="33"/>
  <c r="U21" i="39"/>
  <c r="AB46" i="21"/>
  <c r="AB31" i="40"/>
  <c r="T20" i="71"/>
  <c r="W25" i="33"/>
  <c r="AB27" i="33"/>
  <c r="W12" i="21"/>
  <c r="AB14" i="21"/>
  <c r="AB34" i="33"/>
  <c r="S19" i="33"/>
  <c r="AA19" i="33"/>
  <c r="W9" i="35"/>
  <c r="AB16" i="35"/>
  <c r="U14" i="39"/>
  <c r="H5" i="3"/>
  <c r="AC31" i="33"/>
  <c r="AZ501" i="3"/>
  <c r="AZ587" i="3"/>
  <c r="AZ504" i="3"/>
  <c r="AB30" i="21"/>
  <c r="AA13" i="40"/>
  <c r="S13" i="40"/>
  <c r="F13" i="35"/>
  <c r="F44" i="33"/>
  <c r="U30" i="33"/>
  <c r="AB30" i="33"/>
  <c r="AA40" i="37"/>
  <c r="AB45" i="33"/>
  <c r="U45" i="33"/>
  <c r="U29" i="33"/>
  <c r="AB29" i="33"/>
  <c r="S27" i="33"/>
  <c r="AA27" i="33"/>
  <c r="AA11" i="33"/>
  <c r="S11" i="33"/>
  <c r="AC19" i="39"/>
  <c r="W19" i="39"/>
  <c r="AA31" i="33"/>
  <c r="S31" i="33"/>
  <c r="J24" i="35"/>
  <c r="F24" i="35"/>
  <c r="BL569" i="3"/>
  <c r="BA569" i="3"/>
  <c r="AZ569" i="3" s="1"/>
  <c r="BL567" i="3"/>
  <c r="BA566" i="3"/>
  <c r="AZ566" i="3" s="1"/>
  <c r="BL562" i="3"/>
  <c r="BL561" i="3"/>
  <c r="BL560" i="3"/>
  <c r="BL558" i="3"/>
  <c r="BL539" i="3"/>
  <c r="AZ539" i="3" s="1"/>
  <c r="BL538" i="3"/>
  <c r="BA535" i="3"/>
  <c r="AZ535" i="3" s="1"/>
  <c r="BL531" i="3"/>
  <c r="AZ531" i="3" s="1"/>
  <c r="BA527" i="3"/>
  <c r="AZ527" i="3" s="1"/>
  <c r="BA525" i="3"/>
  <c r="AZ525" i="3" s="1"/>
  <c r="BA524" i="3"/>
  <c r="AZ524" i="3" s="1"/>
  <c r="BL521" i="3"/>
  <c r="AZ521" i="3" s="1"/>
  <c r="BA518" i="3"/>
  <c r="BL514" i="3"/>
  <c r="BA505" i="3"/>
  <c r="BL500" i="3"/>
  <c r="AZ500" i="3" s="1"/>
  <c r="BA497" i="3"/>
  <c r="AZ497" i="3" s="1"/>
  <c r="BA496" i="3"/>
  <c r="AZ503" i="3"/>
  <c r="AZ559" i="3"/>
  <c r="AA27" i="37"/>
  <c r="S27" i="37"/>
  <c r="S33" i="40"/>
  <c r="AA33" i="40"/>
  <c r="S25" i="36"/>
  <c r="AB35" i="35"/>
  <c r="AC35" i="35"/>
  <c r="S25" i="35"/>
  <c r="AB44" i="33"/>
  <c r="U44" i="33"/>
  <c r="W14" i="33"/>
  <c r="AC14" i="33"/>
  <c r="AA45" i="33"/>
  <c r="S45" i="33"/>
  <c r="U44" i="21"/>
  <c r="AB44" i="21"/>
  <c r="S36" i="39"/>
  <c r="AA36" i="39"/>
  <c r="S14" i="33"/>
  <c r="AA14" i="33"/>
  <c r="AC44" i="33"/>
  <c r="W44" i="33"/>
  <c r="AC13" i="35"/>
  <c r="W13" i="35"/>
  <c r="J12" i="40"/>
  <c r="F12" i="40"/>
  <c r="J32" i="40"/>
  <c r="F32" i="40"/>
  <c r="AA34" i="37"/>
  <c r="S34" i="37"/>
  <c r="BA544" i="3"/>
  <c r="AZ544" i="3" s="1"/>
  <c r="BA541" i="3"/>
  <c r="AZ541" i="3" s="1"/>
  <c r="BL540" i="3"/>
  <c r="BA540" i="3"/>
  <c r="AZ540" i="3" s="1"/>
  <c r="BL537" i="3"/>
  <c r="AZ537" i="3" s="1"/>
  <c r="BL536" i="3"/>
  <c r="BA536" i="3"/>
  <c r="BL534" i="3"/>
  <c r="AZ534" i="3" s="1"/>
  <c r="BA533" i="3"/>
  <c r="AZ533" i="3" s="1"/>
  <c r="BA532" i="3"/>
  <c r="AZ532" i="3" s="1"/>
  <c r="BL529" i="3"/>
  <c r="BL528" i="3"/>
  <c r="BA528" i="3"/>
  <c r="BL523" i="3"/>
  <c r="AZ523" i="3" s="1"/>
  <c r="BL522" i="3"/>
  <c r="BL520" i="3"/>
  <c r="AZ520" i="3" s="1"/>
  <c r="BL519" i="3"/>
  <c r="AZ519" i="3" s="1"/>
  <c r="BL518" i="3"/>
  <c r="BL517" i="3"/>
  <c r="BA517" i="3"/>
  <c r="AZ517" i="3" s="1"/>
  <c r="BL516" i="3"/>
  <c r="BA515" i="3"/>
  <c r="AZ515" i="3" s="1"/>
  <c r="BA514" i="3"/>
  <c r="AZ514" i="3" s="1"/>
  <c r="BA512" i="3"/>
  <c r="AZ512" i="3" s="1"/>
  <c r="BL511" i="3"/>
  <c r="AZ511" i="3" s="1"/>
  <c r="BA508" i="3"/>
  <c r="AZ508" i="3" s="1"/>
  <c r="BL507" i="3"/>
  <c r="BA507" i="3"/>
  <c r="AZ507" i="3" s="1"/>
  <c r="BL505" i="3"/>
  <c r="BL502" i="3"/>
  <c r="BA502" i="3"/>
  <c r="AZ502" i="3" s="1"/>
  <c r="BL499" i="3"/>
  <c r="BA499" i="3"/>
  <c r="BL498" i="3"/>
  <c r="BO5" i="3"/>
  <c r="BF5" i="3"/>
  <c r="BB5" i="3"/>
  <c r="BS5" i="3"/>
  <c r="BL496" i="3"/>
  <c r="BI5" i="3"/>
  <c r="G496" i="3"/>
  <c r="AC5" i="3"/>
  <c r="BR5" i="3"/>
  <c r="BL495" i="3"/>
  <c r="AZ495" i="3" s="1"/>
  <c r="BM5" i="3"/>
  <c r="BD5" i="3"/>
  <c r="BP5" i="3"/>
  <c r="BK5" i="3"/>
  <c r="BC5" i="3"/>
  <c r="AC23" i="21"/>
  <c r="AA37" i="21"/>
  <c r="S37" i="21"/>
  <c r="S37" i="37"/>
  <c r="AZ329" i="3"/>
  <c r="S12" i="39"/>
  <c r="AA12" i="39"/>
  <c r="AZ493" i="3"/>
  <c r="AZ529" i="3"/>
  <c r="AZ545" i="3"/>
  <c r="AZ498" i="3"/>
  <c r="AZ538" i="3"/>
  <c r="AZ558" i="3"/>
  <c r="AB13" i="39"/>
  <c r="U13" i="39"/>
  <c r="U42" i="21"/>
  <c r="AB42" i="21"/>
  <c r="AB40" i="39"/>
  <c r="U40" i="39"/>
  <c r="H44" i="39"/>
  <c r="F44" i="39"/>
  <c r="J44" i="39"/>
  <c r="AA38" i="39"/>
  <c r="S38" i="39"/>
  <c r="BN5" i="3"/>
  <c r="G29" i="6" s="1"/>
  <c r="AZ325" i="3"/>
  <c r="AZ567" i="3"/>
  <c r="AZ522" i="3"/>
  <c r="AZ560" i="3"/>
  <c r="W35" i="39"/>
  <c r="W13" i="36"/>
  <c r="AB13" i="40"/>
  <c r="U13" i="40"/>
  <c r="AA14" i="39"/>
  <c r="S14" i="39"/>
  <c r="H14" i="33"/>
  <c r="AA13" i="33"/>
  <c r="S13" i="33"/>
  <c r="AA46" i="21"/>
  <c r="S46" i="21"/>
  <c r="AA17" i="40"/>
  <c r="S17" i="40"/>
  <c r="W19" i="33"/>
  <c r="AC19" i="33"/>
  <c r="AC20" i="35"/>
  <c r="W20" i="35"/>
  <c r="W21" i="40"/>
  <c r="AC21" i="40"/>
  <c r="W36" i="39"/>
  <c r="AC36" i="39"/>
  <c r="AB28" i="35"/>
  <c r="U28" i="35"/>
  <c r="AC34" i="35"/>
  <c r="W34" i="35"/>
  <c r="U23" i="35"/>
  <c r="AB23" i="35"/>
  <c r="U14" i="37"/>
  <c r="AB14" i="37"/>
  <c r="U41" i="21"/>
  <c r="AB41" i="21"/>
  <c r="BA563" i="3"/>
  <c r="AZ563" i="3" s="1"/>
  <c r="BA562" i="3"/>
  <c r="AZ562" i="3" s="1"/>
  <c r="BA561" i="3"/>
  <c r="AZ561" i="3" s="1"/>
  <c r="BA556" i="3"/>
  <c r="AZ556" i="3" s="1"/>
  <c r="BL555" i="3"/>
  <c r="AZ555" i="3" s="1"/>
  <c r="BL554" i="3"/>
  <c r="AZ554" i="3" s="1"/>
  <c r="BL549" i="3"/>
  <c r="BA549" i="3"/>
  <c r="U32" i="36"/>
  <c r="W23" i="40"/>
  <c r="AA11" i="35"/>
  <c r="S33" i="36"/>
  <c r="H9" i="37"/>
  <c r="U9" i="37" s="1"/>
  <c r="S13" i="36"/>
  <c r="H31" i="33"/>
  <c r="J13" i="33"/>
  <c r="AC14" i="36"/>
  <c r="AA34" i="21"/>
  <c r="BL585" i="3"/>
  <c r="AZ585" i="3" s="1"/>
  <c r="B94" i="43"/>
  <c r="C21" i="39"/>
  <c r="H9" i="33"/>
  <c r="AB9" i="36"/>
  <c r="U9" i="36"/>
  <c r="H26" i="37"/>
  <c r="J26" i="37"/>
  <c r="F26" i="37"/>
  <c r="AC31" i="40"/>
  <c r="W31" i="40"/>
  <c r="AB31" i="35"/>
  <c r="U31" i="35"/>
  <c r="F26" i="33"/>
  <c r="J26" i="33"/>
  <c r="F12" i="35"/>
  <c r="H12" i="35"/>
  <c r="J23" i="35"/>
  <c r="F23" i="35"/>
  <c r="AC22" i="35"/>
  <c r="W22" i="35"/>
  <c r="U34" i="40"/>
  <c r="AB34" i="40"/>
  <c r="BA551" i="3"/>
  <c r="AZ551" i="3" s="1"/>
  <c r="U11" i="33"/>
  <c r="H26" i="33"/>
  <c r="F12" i="21"/>
  <c r="B73" i="43"/>
  <c r="B76" i="43"/>
  <c r="F9" i="33"/>
  <c r="AA9" i="33" s="1"/>
  <c r="AA34" i="35"/>
  <c r="AC28" i="36"/>
  <c r="W28" i="36"/>
  <c r="J39" i="37"/>
  <c r="H39" i="37"/>
  <c r="H45" i="39"/>
  <c r="F45" i="39"/>
  <c r="J37" i="39"/>
  <c r="F37" i="39"/>
  <c r="AB9" i="40"/>
  <c r="U9" i="40"/>
  <c r="F38" i="40"/>
  <c r="J38" i="40"/>
  <c r="G570" i="3"/>
  <c r="BL550" i="3"/>
  <c r="AZ550" i="3" s="1"/>
  <c r="AZ409" i="3"/>
  <c r="AZ411" i="3"/>
  <c r="AZ453" i="3"/>
  <c r="AZ455" i="3"/>
  <c r="AZ467" i="3"/>
  <c r="AZ474" i="3"/>
  <c r="AZ492" i="3"/>
  <c r="AZ406" i="3"/>
  <c r="AZ407" i="3"/>
  <c r="AZ410" i="3"/>
  <c r="AZ427" i="3"/>
  <c r="AZ430" i="3"/>
  <c r="AZ432" i="3"/>
  <c r="AZ434" i="3"/>
  <c r="AZ435" i="3"/>
  <c r="AZ440" i="3"/>
  <c r="AZ445" i="3"/>
  <c r="AZ447" i="3"/>
  <c r="AZ449" i="3"/>
  <c r="AZ451" i="3"/>
  <c r="AZ452" i="3"/>
  <c r="AZ456" i="3"/>
  <c r="AZ464" i="3"/>
  <c r="AZ466" i="3"/>
  <c r="AZ484" i="3"/>
  <c r="AZ486" i="3"/>
  <c r="AZ488" i="3"/>
  <c r="AZ416" i="3"/>
  <c r="AZ421" i="3"/>
  <c r="AZ423" i="3"/>
  <c r="AZ425" i="3"/>
  <c r="AZ431" i="3"/>
  <c r="AZ443" i="3"/>
  <c r="AZ444" i="3"/>
  <c r="AZ448" i="3"/>
  <c r="AZ462" i="3"/>
  <c r="AZ463" i="3"/>
  <c r="AZ480" i="3"/>
  <c r="AZ482" i="3"/>
  <c r="AZ485" i="3"/>
  <c r="AZ489" i="3"/>
  <c r="H25" i="37"/>
  <c r="F25" i="37"/>
  <c r="BA370" i="3"/>
  <c r="AZ370" i="3" s="1"/>
  <c r="BL383" i="3"/>
  <c r="AZ383" i="3" s="1"/>
  <c r="BL385" i="3"/>
  <c r="BA392" i="3"/>
  <c r="AZ392" i="3" s="1"/>
  <c r="G213" i="3"/>
  <c r="G215" i="3"/>
  <c r="BL216" i="3"/>
  <c r="BA13" i="3"/>
  <c r="AZ385" i="3"/>
  <c r="AZ397" i="3"/>
  <c r="AZ210" i="3"/>
  <c r="BA212" i="3"/>
  <c r="AZ212" i="3" s="1"/>
  <c r="BA214" i="3"/>
  <c r="AZ214" i="3" s="1"/>
  <c r="AZ216" i="3"/>
  <c r="AZ231" i="3"/>
  <c r="AZ260" i="3"/>
  <c r="A15" i="62"/>
  <c r="B61" i="72" s="1"/>
  <c r="BA384" i="3"/>
  <c r="AZ384" i="3" s="1"/>
  <c r="AZ395" i="3"/>
  <c r="BA396" i="3"/>
  <c r="AZ396" i="3" s="1"/>
  <c r="AZ208" i="3"/>
  <c r="BA209" i="3"/>
  <c r="AZ209" i="3" s="1"/>
  <c r="AZ211" i="3"/>
  <c r="AZ230" i="3"/>
  <c r="BA244" i="3"/>
  <c r="AZ244" i="3" s="1"/>
  <c r="BA247" i="3"/>
  <c r="AZ247" i="3" s="1"/>
  <c r="BA251" i="3"/>
  <c r="AZ251" i="3" s="1"/>
  <c r="BA256" i="3"/>
  <c r="AZ256" i="3" s="1"/>
  <c r="BL258" i="3"/>
  <c r="BL261" i="3"/>
  <c r="AZ261" i="3" s="1"/>
  <c r="BL263" i="3"/>
  <c r="AZ263" i="3" s="1"/>
  <c r="G265" i="3"/>
  <c r="BA267" i="3"/>
  <c r="AZ267" i="3" s="1"/>
  <c r="BA272" i="3"/>
  <c r="AZ272" i="3" s="1"/>
  <c r="BA274" i="3"/>
  <c r="BL276" i="3"/>
  <c r="AZ276" i="3" s="1"/>
  <c r="G278" i="3"/>
  <c r="BA280" i="3"/>
  <c r="AZ280" i="3" s="1"/>
  <c r="BA282" i="3"/>
  <c r="BL284" i="3"/>
  <c r="AZ284" i="3" s="1"/>
  <c r="G286" i="3"/>
  <c r="BL290" i="3"/>
  <c r="BA294" i="3"/>
  <c r="AZ294" i="3" s="1"/>
  <c r="BL298" i="3"/>
  <c r="BA114" i="3"/>
  <c r="AZ114" i="3" s="1"/>
  <c r="BL118" i="3"/>
  <c r="BL123" i="3"/>
  <c r="AZ123" i="3" s="1"/>
  <c r="G127" i="3"/>
  <c r="AZ258" i="3"/>
  <c r="AZ290" i="3"/>
  <c r="AZ298" i="3"/>
  <c r="AZ118" i="3"/>
  <c r="AZ153" i="3"/>
  <c r="AZ246" i="3"/>
  <c r="AZ264" i="3"/>
  <c r="AZ277" i="3"/>
  <c r="AZ285" i="3"/>
  <c r="AZ292" i="3"/>
  <c r="AZ300" i="3"/>
  <c r="AZ121" i="3"/>
  <c r="BA124" i="3"/>
  <c r="AZ124" i="3" s="1"/>
  <c r="AZ141" i="3"/>
  <c r="AZ185" i="3"/>
  <c r="AZ193" i="3"/>
  <c r="AZ201" i="3"/>
  <c r="AZ40" i="3"/>
  <c r="AZ52" i="3"/>
  <c r="AZ60" i="3"/>
  <c r="AZ62" i="3"/>
  <c r="AZ64" i="3"/>
  <c r="AZ73" i="3"/>
  <c r="G245" i="3"/>
  <c r="BL274" i="3"/>
  <c r="BA278" i="3"/>
  <c r="AZ278" i="3" s="1"/>
  <c r="BL282" i="3"/>
  <c r="BA287" i="3"/>
  <c r="AZ287" i="3" s="1"/>
  <c r="BL289" i="3"/>
  <c r="AZ289" i="3" s="1"/>
  <c r="G291" i="3"/>
  <c r="AZ293" i="3"/>
  <c r="AZ301" i="3"/>
  <c r="BA302" i="3"/>
  <c r="AZ302" i="3" s="1"/>
  <c r="AZ113" i="3"/>
  <c r="G115" i="3"/>
  <c r="BA120" i="3"/>
  <c r="AZ120" i="3" s="1"/>
  <c r="BA122" i="3"/>
  <c r="AZ122" i="3" s="1"/>
  <c r="BL125" i="3"/>
  <c r="AZ125" i="3" s="1"/>
  <c r="G126" i="3"/>
  <c r="BL127" i="3"/>
  <c r="AZ127" i="3" s="1"/>
  <c r="BA129" i="3"/>
  <c r="AZ129" i="3" s="1"/>
  <c r="AZ25" i="3"/>
  <c r="AZ27" i="3"/>
  <c r="AZ30" i="3"/>
  <c r="AZ57" i="3"/>
  <c r="BA19" i="3"/>
  <c r="AZ19" i="3" s="1"/>
  <c r="BA24" i="3"/>
  <c r="AZ24" i="3" s="1"/>
  <c r="G28" i="3"/>
  <c r="G61" i="3"/>
  <c r="BL65" i="3"/>
  <c r="G74" i="3"/>
  <c r="BL74" i="3"/>
  <c r="AZ74" i="3" s="1"/>
  <c r="BA78" i="3"/>
  <c r="AZ78" i="3" s="1"/>
  <c r="BA80" i="3"/>
  <c r="AZ80" i="3" s="1"/>
  <c r="AZ36" i="3"/>
  <c r="AZ46" i="3"/>
  <c r="AZ65" i="3"/>
  <c r="BA21" i="3"/>
  <c r="AZ21" i="3" s="1"/>
  <c r="BL26" i="3"/>
  <c r="AZ26" i="3" s="1"/>
  <c r="G35" i="3"/>
  <c r="G40" i="3"/>
  <c r="G45" i="3"/>
  <c r="BL49" i="3"/>
  <c r="AZ49" i="3" s="1"/>
  <c r="BL59" i="3"/>
  <c r="AZ59" i="3" s="1"/>
  <c r="BL62" i="3"/>
  <c r="BA68" i="3"/>
  <c r="AZ68" i="3" s="1"/>
  <c r="BL72" i="3"/>
  <c r="AZ72" i="3" s="1"/>
  <c r="BA75" i="3"/>
  <c r="AZ75" i="3" s="1"/>
  <c r="G79" i="3"/>
  <c r="G81" i="3"/>
  <c r="AZ95" i="3"/>
  <c r="G20" i="3"/>
  <c r="G5" i="3" s="1"/>
  <c r="B3" i="3" s="1"/>
  <c r="G25" i="3"/>
  <c r="BA29" i="3"/>
  <c r="AZ29" i="3" s="1"/>
  <c r="BA34" i="3"/>
  <c r="AZ34" i="3" s="1"/>
  <c r="BA39" i="3"/>
  <c r="AZ39" i="3" s="1"/>
  <c r="BA44" i="3"/>
  <c r="AZ44" i="3" s="1"/>
  <c r="G53" i="3"/>
  <c r="BL57" i="3"/>
  <c r="BL67" i="3"/>
  <c r="AZ67" i="3" s="1"/>
  <c r="BL70" i="3"/>
  <c r="AZ70" i="3" s="1"/>
  <c r="BL77" i="3"/>
  <c r="AZ77" i="3" s="1"/>
  <c r="BL86" i="3"/>
  <c r="AZ86" i="3" s="1"/>
  <c r="AZ108" i="3"/>
  <c r="C7" i="82"/>
  <c r="C59" i="82" s="1"/>
  <c r="C7" i="83"/>
  <c r="C59" i="83" s="1"/>
  <c r="AC21" i="33"/>
  <c r="W21" i="33"/>
  <c r="AC29" i="39"/>
  <c r="W29" i="39"/>
  <c r="C55" i="71"/>
  <c r="D54" i="71"/>
  <c r="BL105" i="3"/>
  <c r="AZ105" i="3" s="1"/>
  <c r="BL108" i="3"/>
  <c r="AB18" i="35"/>
  <c r="U18" i="35"/>
  <c r="G104" i="3"/>
  <c r="K13" i="1"/>
  <c r="M13" i="1" s="1"/>
  <c r="O13" i="1" s="1"/>
  <c r="P13" i="1" s="1"/>
  <c r="B88" i="43"/>
  <c r="C25" i="40"/>
  <c r="BA103" i="3"/>
  <c r="AZ103" i="3" s="1"/>
  <c r="G107" i="3"/>
  <c r="F3" i="35"/>
  <c r="U21" i="33"/>
  <c r="AB21" i="33"/>
  <c r="D40" i="71"/>
  <c r="T40" i="71"/>
  <c r="E34" i="71"/>
  <c r="E35" i="71" s="1"/>
  <c r="E36" i="71" s="1"/>
  <c r="U36" i="71" s="1"/>
  <c r="AA33" i="71"/>
  <c r="X33" i="71"/>
  <c r="X34" i="71"/>
  <c r="Y10" i="71"/>
  <c r="Z10" i="71" s="1"/>
  <c r="Y9" i="71"/>
  <c r="Z9" i="71" s="1"/>
  <c r="Y39" i="71"/>
  <c r="Z39" i="71" s="1"/>
  <c r="X24" i="71"/>
  <c r="E23" i="71"/>
  <c r="E22" i="71" s="1"/>
  <c r="E21" i="71" s="1"/>
  <c r="E20" i="71" s="1"/>
  <c r="V24" i="71"/>
  <c r="X18" i="71"/>
  <c r="X17" i="71"/>
  <c r="AB29" i="71"/>
  <c r="AB30" i="71"/>
  <c r="Y31" i="71"/>
  <c r="Z31" i="71" s="1"/>
  <c r="X36" i="71"/>
  <c r="Y38" i="71"/>
  <c r="Z38" i="71" s="1"/>
  <c r="AA10" i="71"/>
  <c r="AA39" i="71"/>
  <c r="AA9" i="71"/>
  <c r="Y24" i="71"/>
  <c r="Z24" i="71" s="1"/>
  <c r="AB21" i="71"/>
  <c r="AB14" i="71"/>
  <c r="Y14" i="71"/>
  <c r="Z14" i="71" s="1"/>
  <c r="AB28" i="71"/>
  <c r="AA30" i="71"/>
  <c r="E31" i="71"/>
  <c r="E32" i="71" s="1"/>
  <c r="U32" i="71" s="1"/>
  <c r="AB34" i="71"/>
  <c r="X10" i="71"/>
  <c r="E51" i="71"/>
  <c r="E52" i="71" s="1"/>
  <c r="U52" i="71" s="1"/>
  <c r="B75" i="71"/>
  <c r="B74" i="71" s="1"/>
  <c r="AB24" i="71"/>
  <c r="AA22" i="71"/>
  <c r="AA18" i="71"/>
  <c r="Y18" i="71"/>
  <c r="Z18" i="71" s="1"/>
  <c r="AB18" i="71"/>
  <c r="AA17" i="71"/>
  <c r="U29" i="39"/>
  <c r="S18" i="36"/>
  <c r="B68" i="43"/>
  <c r="AA27" i="71"/>
  <c r="C31" i="71"/>
  <c r="AA32" i="71"/>
  <c r="B28" i="71"/>
  <c r="X26" i="71"/>
  <c r="X22" i="71"/>
  <c r="Y25" i="71"/>
  <c r="Z25" i="71" s="1"/>
  <c r="Y27" i="71"/>
  <c r="Z27" i="71" s="1"/>
  <c r="Y30" i="71"/>
  <c r="Z30" i="71" s="1"/>
  <c r="AA31" i="71"/>
  <c r="Y36" i="71"/>
  <c r="Z36" i="71" s="1"/>
  <c r="V68" i="71"/>
  <c r="F67" i="71"/>
  <c r="X21" i="71"/>
  <c r="AA21" i="71"/>
  <c r="Y11" i="71"/>
  <c r="Z11" i="71" s="1"/>
  <c r="Y23" i="71"/>
  <c r="Z23" i="71" s="1"/>
  <c r="AA23" i="71"/>
  <c r="AA15" i="71"/>
  <c r="AB13" i="71"/>
  <c r="AA12" i="71"/>
  <c r="X13" i="71"/>
  <c r="AB9" i="71"/>
  <c r="N56" i="9"/>
  <c r="AB15" i="71"/>
  <c r="Y17" i="71"/>
  <c r="Z17" i="71" s="1"/>
  <c r="AB17" i="71"/>
  <c r="AB11" i="71"/>
  <c r="AA14" i="71"/>
  <c r="Y22" i="71"/>
  <c r="Z22" i="71" s="1"/>
  <c r="AB23" i="71"/>
  <c r="Y21" i="71"/>
  <c r="Z21" i="71" s="1"/>
  <c r="X15" i="71"/>
  <c r="AB10" i="71"/>
  <c r="AA13" i="71"/>
  <c r="X12" i="71"/>
  <c r="X14" i="71"/>
  <c r="Y13" i="71"/>
  <c r="Z13" i="71" s="1"/>
  <c r="X9" i="71"/>
  <c r="AB12" i="71"/>
  <c r="AA11" i="71"/>
  <c r="X11" i="71"/>
  <c r="Y12" i="71"/>
  <c r="Z12" i="71" s="1"/>
  <c r="C34" i="83"/>
  <c r="H50" i="43"/>
  <c r="H67" i="43"/>
  <c r="F6" i="1"/>
  <c r="C28" i="67"/>
  <c r="C21" i="68"/>
  <c r="C40" i="69"/>
  <c r="G28" i="6"/>
  <c r="G30" i="6" s="1"/>
  <c r="G31" i="6" s="1"/>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9" i="6"/>
  <c r="K15" i="1" s="1"/>
  <c r="F30" i="6"/>
  <c r="L19" i="6"/>
  <c r="L27" i="6" s="1"/>
  <c r="M6" i="1"/>
  <c r="O6" i="1" s="1"/>
  <c r="T13" i="1"/>
  <c r="C58" i="21"/>
  <c r="C58" i="33"/>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16" i="15"/>
  <c r="C36" i="69"/>
  <c r="L48" i="67"/>
  <c r="G1" i="73"/>
  <c r="F27" i="69"/>
  <c r="C16" i="67"/>
  <c r="D9" i="69"/>
  <c r="E329" i="3" l="1"/>
  <c r="E490" i="3"/>
  <c r="E463" i="3"/>
  <c r="E226" i="3"/>
  <c r="E65" i="3"/>
  <c r="E248" i="3"/>
  <c r="E386" i="3"/>
  <c r="E24" i="3"/>
  <c r="E250" i="3"/>
  <c r="E51" i="3"/>
  <c r="E222" i="3"/>
  <c r="E422" i="3"/>
  <c r="E498" i="3"/>
  <c r="E202" i="3"/>
  <c r="E15" i="3"/>
  <c r="E195" i="3"/>
  <c r="E307" i="3"/>
  <c r="E48" i="3"/>
  <c r="E341" i="3"/>
  <c r="E179" i="3"/>
  <c r="E105" i="3"/>
  <c r="AH6" i="3"/>
  <c r="E178" i="3"/>
  <c r="E60" i="3"/>
  <c r="E138" i="3"/>
  <c r="E266" i="3"/>
  <c r="E66" i="3"/>
  <c r="E284" i="3"/>
  <c r="E154" i="3"/>
  <c r="E82" i="3"/>
  <c r="E16" i="3"/>
  <c r="E486" i="3"/>
  <c r="E483" i="3"/>
  <c r="E346" i="3"/>
  <c r="E47" i="3"/>
  <c r="E163" i="3"/>
  <c r="E354" i="3"/>
  <c r="E87" i="3"/>
  <c r="Y6" i="3"/>
  <c r="E323" i="3"/>
  <c r="E223" i="3"/>
  <c r="E372" i="3"/>
  <c r="E98" i="3"/>
  <c r="E209" i="3"/>
  <c r="E584" i="3"/>
  <c r="E19" i="3"/>
  <c r="E373" i="3"/>
  <c r="E283" i="3"/>
  <c r="E63" i="3"/>
  <c r="E233" i="3"/>
  <c r="E67"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61" i="3"/>
  <c r="E586" i="3"/>
  <c r="E347" i="3"/>
  <c r="E540" i="3"/>
  <c r="E543" i="3"/>
  <c r="E493"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555" i="3"/>
  <c r="E410" i="3"/>
  <c r="E337" i="3"/>
  <c r="E143" i="3"/>
  <c r="E270" i="3"/>
  <c r="E533" i="3"/>
  <c r="AR6" i="3"/>
  <c r="E538" i="3"/>
  <c r="E439" i="3"/>
  <c r="E380" i="3"/>
  <c r="E216" i="3"/>
  <c r="E185" i="3"/>
  <c r="E528" i="3"/>
  <c r="E183" i="3"/>
  <c r="E180" i="3"/>
  <c r="E134" i="3"/>
  <c r="E301" i="3"/>
  <c r="E495" i="3"/>
  <c r="E124" i="3"/>
  <c r="E513" i="3"/>
  <c r="E118" i="3"/>
  <c r="E381" i="3"/>
  <c r="E144" i="3"/>
  <c r="E23"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388" i="3"/>
  <c r="E561" i="3"/>
  <c r="E231" i="3"/>
  <c r="E261" i="3"/>
  <c r="E503" i="3"/>
  <c r="E91" i="3"/>
  <c r="E350" i="3"/>
  <c r="E399" i="3"/>
  <c r="E309" i="3"/>
  <c r="E81" i="3"/>
  <c r="E355" i="3"/>
  <c r="E33" i="3"/>
  <c r="E492" i="3"/>
  <c r="E249" i="3"/>
  <c r="E160" i="3"/>
  <c r="E455" i="3"/>
  <c r="E333" i="3"/>
  <c r="E108" i="3"/>
  <c r="J6" i="3"/>
  <c r="E427" i="3"/>
  <c r="E188" i="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S28" i="71"/>
  <c r="B27" i="71"/>
  <c r="B26" i="71" s="1"/>
  <c r="C56" i="71"/>
  <c r="D55" i="71"/>
  <c r="E127" i="3"/>
  <c r="BA5" i="3"/>
  <c r="S45" i="39"/>
  <c r="AA45" i="39"/>
  <c r="AC23" i="35"/>
  <c r="W23" i="35"/>
  <c r="AA26" i="33"/>
  <c r="S26" i="33"/>
  <c r="AC13" i="33"/>
  <c r="W13" i="33"/>
  <c r="AA12" i="40"/>
  <c r="S12" i="40"/>
  <c r="S24" i="35"/>
  <c r="AA24" i="35"/>
  <c r="D59" i="83"/>
  <c r="E59" i="83" s="1"/>
  <c r="F59" i="83" s="1"/>
  <c r="G59" i="83" s="1"/>
  <c r="H59" i="83" s="1"/>
  <c r="I59" i="83" s="1"/>
  <c r="J59" i="83" s="1"/>
  <c r="K59" i="83" s="1"/>
  <c r="L59" i="83" s="1"/>
  <c r="M59" i="83" s="1"/>
  <c r="N59" i="83" s="1"/>
  <c r="O59" i="83" s="1"/>
  <c r="J7" i="83"/>
  <c r="F7" i="83"/>
  <c r="H7" i="83"/>
  <c r="AZ282" i="3"/>
  <c r="AZ274" i="3"/>
  <c r="AZ5" i="3" s="1"/>
  <c r="AA25" i="37"/>
  <c r="S25" i="37"/>
  <c r="U45" i="39"/>
  <c r="AB45" i="39"/>
  <c r="U12" i="35"/>
  <c r="AB12" i="35"/>
  <c r="AA26" i="37"/>
  <c r="S26" i="37"/>
  <c r="AB31" i="33"/>
  <c r="U31" i="33"/>
  <c r="AZ549" i="3"/>
  <c r="U14" i="33"/>
  <c r="AB14" i="33"/>
  <c r="AC44" i="39"/>
  <c r="W44" i="39"/>
  <c r="AZ536" i="3"/>
  <c r="W12" i="40"/>
  <c r="AC12" i="40"/>
  <c r="AZ505" i="3"/>
  <c r="AC24" i="35"/>
  <c r="W24" i="35"/>
  <c r="S44" i="33"/>
  <c r="AA44" i="33"/>
  <c r="C15" i="71"/>
  <c r="T16" i="71"/>
  <c r="E28" i="6"/>
  <c r="K14" i="1" s="1"/>
  <c r="K16" i="1" s="1"/>
  <c r="C32" i="71"/>
  <c r="D31" i="71"/>
  <c r="D59" i="82"/>
  <c r="E59" i="82" s="1"/>
  <c r="F59" i="82" s="1"/>
  <c r="G59" i="82" s="1"/>
  <c r="H59" i="82" s="1"/>
  <c r="I59" i="82" s="1"/>
  <c r="J59" i="82" s="1"/>
  <c r="K59" i="82" s="1"/>
  <c r="L59" i="82" s="1"/>
  <c r="M59" i="82" s="1"/>
  <c r="N59" i="82" s="1"/>
  <c r="O59" i="82" s="1"/>
  <c r="F7" i="82"/>
  <c r="E25" i="3"/>
  <c r="U25" i="37"/>
  <c r="AB25" i="37"/>
  <c r="AC38" i="40"/>
  <c r="W38" i="40"/>
  <c r="S37" i="39"/>
  <c r="AA37" i="39"/>
  <c r="AB39" i="37"/>
  <c r="U39" i="37"/>
  <c r="S12" i="21"/>
  <c r="AA12" i="21"/>
  <c r="S12" i="35"/>
  <c r="AA12" i="35"/>
  <c r="AC26" i="37"/>
  <c r="W26" i="37"/>
  <c r="AB9" i="33"/>
  <c r="U9" i="33"/>
  <c r="BL5" i="3"/>
  <c r="AA44" i="39"/>
  <c r="S44" i="39"/>
  <c r="AA32" i="40"/>
  <c r="S32" i="40"/>
  <c r="AZ496" i="3"/>
  <c r="S13" i="35"/>
  <c r="AA13" i="35"/>
  <c r="J7" i="36"/>
  <c r="M23" i="43"/>
  <c r="U16" i="71"/>
  <c r="B15" i="71"/>
  <c r="B14" i="71" s="1"/>
  <c r="B13" i="71" s="1"/>
  <c r="B12" i="71" s="1"/>
  <c r="S16" i="71"/>
  <c r="Q67" i="71"/>
  <c r="F66" i="71"/>
  <c r="E19" i="71"/>
  <c r="E18" i="71" s="1"/>
  <c r="E17" i="71" s="1"/>
  <c r="E16" i="71" s="1"/>
  <c r="V20" i="71"/>
  <c r="AA38" i="40"/>
  <c r="S38" i="40"/>
  <c r="W37" i="39"/>
  <c r="AC37" i="39"/>
  <c r="AC39" i="37"/>
  <c r="W39" i="37"/>
  <c r="AB26" i="33"/>
  <c r="U26" i="33"/>
  <c r="S23" i="35"/>
  <c r="AA23" i="35"/>
  <c r="AC26" i="33"/>
  <c r="W26" i="33"/>
  <c r="AB26" i="37"/>
  <c r="U26" i="37"/>
  <c r="U44" i="39"/>
  <c r="AB44" i="39"/>
  <c r="AZ499" i="3"/>
  <c r="AZ528" i="3"/>
  <c r="AC32" i="40"/>
  <c r="W32" i="40"/>
  <c r="AZ518" i="3"/>
  <c r="C42" i="82"/>
  <c r="J34" i="82"/>
  <c r="F34" i="82"/>
  <c r="H34" i="82"/>
  <c r="C42" i="83"/>
  <c r="F34" i="83"/>
  <c r="J34" i="83"/>
  <c r="H34" i="83"/>
  <c r="H7" i="36"/>
  <c r="J53" i="67"/>
  <c r="F1" i="67" s="1"/>
  <c r="L56" i="67"/>
  <c r="J57" i="67"/>
  <c r="J55" i="67" s="1"/>
  <c r="J58" i="67" s="1"/>
  <c r="Q50" i="67" s="1"/>
  <c r="I54" i="67"/>
  <c r="L58" i="67"/>
  <c r="Q60" i="67" s="1"/>
  <c r="G6" i="1"/>
  <c r="G16" i="1" s="1"/>
  <c r="F10" i="39" s="1"/>
  <c r="AA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H10" i="39"/>
  <c r="U10" i="39" s="1"/>
  <c r="J10" i="39"/>
  <c r="W10" i="39" s="1"/>
  <c r="D26" i="43"/>
  <c r="C25" i="43" s="1"/>
  <c r="C7" i="43"/>
  <c r="C5" i="43" s="1"/>
  <c r="D10" i="52"/>
  <c r="D125" i="9"/>
  <c r="D11" i="52" s="1"/>
  <c r="B7" i="74"/>
  <c r="C7" i="74" s="1"/>
  <c r="F67" i="39"/>
  <c r="E69" i="39"/>
  <c r="F59" i="67"/>
  <c r="H7" i="37"/>
  <c r="AB7" i="37" s="1"/>
  <c r="T42" i="37" s="1"/>
  <c r="G42" i="37" s="1"/>
  <c r="B40" i="1"/>
  <c r="L36" i="43"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E3" i="6" l="1"/>
  <c r="AY6" i="3"/>
  <c r="F10" i="40"/>
  <c r="S10" i="40" s="1"/>
  <c r="E15" i="71"/>
  <c r="E14" i="71" s="1"/>
  <c r="E13" i="71" s="1"/>
  <c r="E12" i="71" s="1"/>
  <c r="V16" i="71"/>
  <c r="B11" i="71"/>
  <c r="B10" i="71" s="1"/>
  <c r="B9" i="71" s="1"/>
  <c r="B8" i="71" s="1"/>
  <c r="B7" i="71" s="1"/>
  <c r="B6" i="71" s="1"/>
  <c r="B5" i="71" s="1"/>
  <c r="S12" i="71"/>
  <c r="S7" i="83"/>
  <c r="AA7" i="83"/>
  <c r="Q66" i="71"/>
  <c r="Q65" i="71"/>
  <c r="AA7" i="82"/>
  <c r="S7" i="82"/>
  <c r="C14" i="71"/>
  <c r="D15" i="71"/>
  <c r="AC7" i="83"/>
  <c r="W7" i="83"/>
  <c r="H10" i="40"/>
  <c r="AB10" i="40" s="1"/>
  <c r="J10" i="40"/>
  <c r="AC10" i="40" s="1"/>
  <c r="J7" i="82"/>
  <c r="D32" i="71"/>
  <c r="T32" i="71"/>
  <c r="H7" i="82"/>
  <c r="AB7" i="83"/>
  <c r="U7" i="83"/>
  <c r="T56" i="71"/>
  <c r="D56" i="7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AC7" i="82" l="1"/>
  <c r="W7" i="82"/>
  <c r="E11" i="71"/>
  <c r="E10" i="71" s="1"/>
  <c r="E9" i="71" s="1"/>
  <c r="E8" i="71" s="1"/>
  <c r="E7" i="71" s="1"/>
  <c r="E6" i="71" s="1"/>
  <c r="E5" i="71" s="1"/>
  <c r="V12" i="71"/>
  <c r="AB7" i="82"/>
  <c r="U7" i="82"/>
  <c r="D14" i="71"/>
  <c r="C13" i="71"/>
  <c r="F69" i="67"/>
  <c r="W42" i="82"/>
  <c r="AC42" i="82"/>
  <c r="V49" i="82" s="1"/>
  <c r="I49" i="82" s="1"/>
  <c r="U42" i="82"/>
  <c r="AB42" i="82"/>
  <c r="T49" i="82" s="1"/>
  <c r="G49" i="82" s="1"/>
  <c r="AA42" i="83"/>
  <c r="R49" i="83" s="1"/>
  <c r="S42" i="83"/>
  <c r="S42" i="82"/>
  <c r="AA42" i="82"/>
  <c r="R49" i="82" s="1"/>
  <c r="AC42" i="83"/>
  <c r="V49" i="83" s="1"/>
  <c r="I49" i="83" s="1"/>
  <c r="I53" i="83" s="1"/>
  <c r="J53" i="83" s="1"/>
  <c r="W42" i="83"/>
  <c r="AB42" i="83"/>
  <c r="T49" i="83" s="1"/>
  <c r="G49" i="83" s="1"/>
  <c r="U42"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7" i="15"/>
  <c r="C17" i="67"/>
  <c r="C34" i="69"/>
  <c r="D10" i="69"/>
  <c r="C14" i="67"/>
  <c r="D13" i="71" l="1"/>
  <c r="C12" i="71"/>
  <c r="G54" i="83"/>
  <c r="H54" i="83" s="1"/>
  <c r="G53" i="83"/>
  <c r="H53" i="83" s="1"/>
  <c r="G53" i="82"/>
  <c r="H53" i="82" s="1"/>
  <c r="G54" i="82"/>
  <c r="H54" i="82" s="1"/>
  <c r="I53" i="82"/>
  <c r="J53" i="82" s="1"/>
  <c r="R50" i="83"/>
  <c r="E49" i="83"/>
  <c r="E49" i="82"/>
  <c r="I54" i="82" s="1"/>
  <c r="J54" i="82" s="1"/>
  <c r="R50" i="82"/>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1" i="71" l="1"/>
  <c r="C10"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19" i="9"/>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0" i="1"/>
  <c r="D20" i="9"/>
  <c r="AO12" i="1"/>
  <c r="AO7" i="1"/>
  <c r="AO8" i="1"/>
  <c r="AO9" i="1"/>
  <c r="AO11" i="1"/>
  <c r="AO6"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B5"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F14" i="74" l="1"/>
  <c r="D5" i="74"/>
  <c r="C5" i="74"/>
  <c r="S22" i="31"/>
  <c r="B20" i="31" s="1"/>
  <c r="B21" i="31" s="1"/>
  <c r="D119" i="9"/>
  <c r="D5" i="52" s="1"/>
  <c r="B49" i="72" s="1"/>
  <c r="D4" i="52"/>
  <c r="B47" i="72" s="1"/>
  <c r="H107" i="9"/>
  <c r="D45" i="9"/>
  <c r="M48" i="9"/>
  <c r="D5" i="53"/>
  <c r="R22" i="31" l="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<sst xmlns="http://schemas.openxmlformats.org/spreadsheetml/2006/main" count="8313" uniqueCount="3523">
  <si>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</si>
  <si>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</si>
  <si>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</si>
  <si>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</si>
  <si>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</si>
  <si>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</si>
  <si>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</si>
  <si>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</si>
  <si>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</si>
  <si>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</si>
  <si>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</si>
  <si>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</si>
  <si>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</si>
  <si>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</si>
  <si>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</si>
  <si>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</si>
  <si>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</si>
  <si>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</si>
  <si>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</si>
  <si>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</si>
  <si>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</si>
  <si>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</si>
  <si>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</si>
  <si>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</si>
  <si>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</si>
  <si>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</si>
  <si>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</si>
  <si>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</si>
  <si>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</si>
  <si>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</si>
  <si>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</si>
  <si>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</si>
  <si>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</si>
  <si>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</si>
  <si>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</si>
  <si>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</si>
  <si>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</si>
  <si>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</si>
  <si>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</si>
  <si>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</si>
  <si>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</si>
  <si>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</si>
  <si>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</si>
  <si>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</si>
  <si>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</si>
  <si>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</si>
  <si>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</si>
  <si>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</si>
  <si>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</si>
  <si>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</si>
  <si>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</si>
  <si>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</si>
  <si>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</si>
  <si>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</si>
  <si>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</si>
  <si>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</si>
  <si>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</si>
  <si>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</si>
  <si>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</si>
  <si>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</si>
  <si>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</si>
  <si>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</si>
  <si>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</si>
  <si>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</si>
  <si>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</si>
  <si>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</si>
  <si>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</si>
  <si>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</si>
  <si>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</si>
  <si>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</si>
  <si>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</si>
  <si>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</si>
  <si>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</si>
  <si>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</si>
  <si>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</si>
  <si>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</si>
  <si>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</si>
  <si>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</si>
  <si>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</si>
  <si>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</si>
  <si>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</si>
  <si>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</si>
  <si>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</si>
  <si>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</si>
  <si>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</si>
  <si>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</si>
  <si>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</si>
  <si>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</si>
  <si>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</si>
  <si>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</si>
  <si>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</si>
  <si>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</si>
  <si>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</si>
  <si>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</si>
  <si>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</si>
  <si>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</si>
  <si>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</si>
  <si>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</si>
  <si>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</si>
  <si>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</si>
  <si>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</si>
  <si>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</si>
  <si>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</si>
  <si>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</si>
  <si>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</si>
  <si>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</si>
  <si>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</si>
  <si>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</si>
  <si>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</si>
  <si>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</si>
  <si>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</si>
  <si>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</si>
  <si>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</si>
  <si>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</si>
  <si>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</si>
  <si>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</si>
  <si>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</si>
  <si>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</si>
  <si>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</si>
  <si>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</si>
  <si>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</si>
  <si>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</si>
  <si>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</si>
  <si>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</si>
  <si>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</si>
  <si>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</si>
  <si>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</si>
  <si>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</si>
  <si>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</si>
  <si>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</si>
  <si>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</si>
  <si>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</si>
  <si>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</si>
  <si>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</si>
  <si>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</si>
  <si>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</si>
  <si>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</si>
  <si>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</si>
  <si>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</si>
  <si>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</si>
  <si>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</si>
  <si>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</si>
  <si>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</si>
  <si>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</si>
  <si>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</si>
  <si>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</si>
  <si>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</si>
  <si>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</si>
  <si>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</si>
  <si>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</si>
  <si>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</si>
  <si>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</si>
  <si>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</si>
  <si>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</si>
  <si>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</si>
  <si>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</si>
  <si>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</si>
  <si>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</si>
  <si>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</si>
  <si>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</si>
  <si>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</si>
  <si>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</si>
  <si>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</si>
  <si>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</si>
  <si>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</si>
  <si>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</si>
  <si>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</si>
  <si>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</si>
  <si>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</si>
  <si>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</si>
  <si>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</si>
  <si>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</si>
  <si>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</si>
  <si>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</si>
  <si>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</si>
  <si>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</si>
  <si>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</si>
  <si>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</si>
  <si>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</si>
  <si>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</si>
  <si>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</si>
  <si>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</si>
  <si>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</si>
  <si>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</si>
  <si>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</si>
  <si>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</si>
  <si>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</si>
  <si>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</si>
  <si>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</si>
  <si>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</si>
  <si>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</si>
  <si>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</si>
  <si>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</si>
  <si>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</si>
  <si>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</si>
  <si>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</si>
  <si>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</si>
  <si>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</si>
  <si>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</si>
  <si>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</si>
  <si>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</si>
  <si>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</si>
  <si>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</si>
  <si>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</si>
  <si>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</si>
  <si>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</si>
  <si>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</si>
  <si>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</si>
  <si>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</si>
  <si>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</si>
  <si>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</si>
  <si>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</si>
  <si>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</si>
  <si>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</si>
  <si>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</si>
  <si>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</si>
  <si>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</si>
  <si>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</si>
  <si>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</si>
  <si>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</si>
  <si>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</si>
  <si>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</si>
  <si>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</si>
  <si>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</si>
  <si>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</si>
  <si>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</si>
  <si>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</si>
  <si>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</si>
  <si>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</si>
  <si>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</si>
  <si>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</si>
  <si>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</si>
  <si>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</si>
  <si>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</si>
  <si>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</si>
  <si>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</si>
  <si>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</si>
  <si>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</si>
  <si>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</si>
  <si>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</si>
  <si>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</si>
  <si>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</si>
  <si>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</si>
  <si>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</si>
  <si>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</si>
  <si>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</si>
  <si>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</si>
  <si>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</si>
  <si>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</si>
  <si>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</si>
  <si>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</si>
  <si>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</si>
  <si>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</si>
  <si>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</si>
  <si>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</si>
  <si>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</si>
  <si>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</si>
  <si>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</si>
  <si>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</si>
  <si>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</si>
  <si>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</si>
  <si>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</si>
  <si>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</si>
  <si>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</si>
  <si>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</si>
  <si>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</si>
  <si>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</si>
  <si>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</si>
  <si>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</si>
  <si>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</si>
  <si>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</si>
  <si>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</si>
  <si>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</si>
  <si>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</si>
  <si>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</si>
  <si>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</si>
  <si>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</si>
  <si>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</si>
  <si>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</si>
  <si>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</si>
  <si>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</si>
  <si>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</si>
  <si>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</si>
  <si>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</si>
  <si>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</si>
  <si>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</si>
  <si>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</si>
  <si>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</si>
  <si>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</si>
  <si>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</si>
  <si>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</si>
  <si>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</si>
  <si>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</si>
  <si>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</si>
  <si>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</si>
  <si>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</si>
  <si>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</si>
  <si>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</si>
  <si>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</si>
  <si>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</si>
  <si>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</si>
  <si>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</si>
  <si>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</si>
  <si>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</si>
  <si>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</si>
  <si>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</si>
  <si>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</si>
  <si>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</si>
  <si>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</si>
  <si>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</si>
  <si>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</si>
  <si>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</si>
  <si>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</si>
  <si>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</si>
  <si>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</si>
  <si>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</si>
  <si>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</si>
  <si>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</si>
  <si>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</si>
  <si>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</si>
  <si>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</si>
  <si>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</si>
  <si>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</si>
  <si>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</si>
  <si>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</si>
  <si>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</si>
  <si>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</si>
  <si>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</si>
  <si>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</si>
  <si>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</si>
  <si>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</si>
  <si>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</si>
  <si>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</si>
  <si>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</si>
  <si>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</si>
  <si>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</si>
  <si>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</si>
  <si>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</si>
  <si>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</si>
  <si>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</si>
  <si>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</si>
  <si>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</si>
  <si>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</si>
  <si>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</si>
  <si>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</si>
  <si>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</si>
  <si>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</si>
  <si>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</si>
  <si>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</si>
  <si>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</si>
  <si>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</si>
  <si>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</si>
  <si>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</si>
  <si>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</si>
  <si>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</si>
  <si>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</si>
  <si>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</si>
  <si>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</si>
  <si>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</si>
  <si>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</si>
  <si>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</si>
  <si>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</si>
  <si>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</si>
  <si>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</si>
  <si>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</si>
  <si>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</si>
  <si>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</si>
  <si>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</si>
  <si>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</si>
  <si>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</si>
  <si>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</si>
  <si>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</si>
  <si>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</si>
  <si>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</si>
  <si>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</si>
  <si>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</si>
  <si>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</si>
  <si>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</si>
  <si>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</si>
  <si>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</si>
  <si>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</si>
  <si>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</si>
  <si>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</si>
  <si>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</si>
  <si>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</si>
  <si>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</si>
  <si>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</si>
  <si>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</si>
  <si>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</si>
  <si>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</si>
  <si>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</si>
  <si>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</si>
  <si>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</si>
  <si>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</si>
  <si>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</si>
  <si>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</si>
  <si>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</si>
  <si>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</si>
  <si>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</si>
  <si>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</si>
  <si>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</si>
  <si>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</si>
  <si>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</si>
  <si>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</si>
  <si>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</si>
  <si>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</si>
  <si>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</si>
  <si>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</si>
  <si>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</si>
  <si>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</si>
  <si>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</si>
  <si>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</si>
  <si>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</si>
  <si>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</si>
  <si>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</si>
  <si>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</si>
  <si>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</si>
  <si>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</si>
  <si>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</si>
  <si>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</si>
  <si>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</si>
  <si>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</si>
  <si>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</si>
  <si>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</si>
  <si>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</si>
  <si>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</si>
  <si>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</si>
  <si>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</si>
  <si>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</si>
  <si>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</si>
  <si>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</si>
  <si>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</si>
  <si>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</si>
  <si>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</si>
  <si>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</si>
  <si>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</si>
  <si>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</si>
  <si>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</si>
  <si>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</si>
  <si>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</si>
  <si>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</si>
  <si>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</si>
  <si>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</si>
  <si>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</si>
  <si>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</si>
  <si>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</si>
  <si>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</si>
  <si>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</si>
  <si>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</si>
  <si>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</si>
  <si>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</si>
  <si>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</si>
  <si>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</si>
  <si>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</si>
  <si>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</si>
  <si>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</si>
  <si>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</si>
  <si>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</si>
  <si>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</si>
  <si>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</si>
  <si>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</si>
  <si>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</si>
  <si>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</si>
  <si>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</si>
  <si>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</si>
  <si>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</si>
  <si>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</si>
  <si>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</si>
  <si>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</si>
  <si>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</si>
  <si>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</si>
  <si>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</si>
  <si>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</si>
  <si>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</si>
  <si>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</si>
  <si>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</si>
  <si>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</si>
  <si>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</si>
  <si>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</si>
  <si>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</si>
  <si>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</si>
  <si>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</si>
  <si>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</si>
  <si>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</si>
  <si>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</si>
  <si>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</si>
  <si>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</si>
  <si>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</si>
  <si>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</si>
  <si>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</si>
  <si>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</si>
  <si>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</si>
  <si>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</si>
  <si>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</si>
  <si>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</si>
  <si>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</si>
  <si>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</si>
  <si>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</si>
  <si>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</si>
  <si>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</si>
  <si>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</si>
  <si>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</si>
  <si>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</si>
  <si>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</si>
  <si>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</si>
  <si>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</si>
  <si>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</si>
  <si>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</si>
  <si>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</si>
  <si>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</si>
  <si>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</si>
  <si>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</si>
  <si>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</si>
  <si>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</si>
  <si>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</si>
  <si>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</si>
  <si>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</si>
  <si>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</si>
  <si>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</si>
  <si>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</si>
  <si>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</si>
  <si>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</si>
  <si>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</si>
  <si>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</si>
  <si>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</si>
  <si>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</si>
  <si>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</si>
  <si>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</si>
  <si>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</si>
  <si>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</si>
  <si>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</si>
  <si>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</si>
  <si>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</si>
  <si>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</si>
  <si>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</si>
  <si>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</si>
  <si>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</si>
  <si>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</si>
  <si>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</si>
  <si>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</si>
  <si>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</si>
  <si>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</si>
  <si>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</si>
  <si>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</si>
  <si>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</si>
  <si>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</si>
  <si>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</si>
  <si>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</si>
  <si>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</si>
  <si>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</si>
  <si>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</si>
  <si>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</si>
  <si>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</si>
  <si>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</si>
  <si>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</si>
  <si>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</si>
  <si>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</si>
  <si>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</si>
  <si>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</si>
  <si>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</si>
  <si>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</si>
  <si>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</si>
  <si>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</si>
  <si>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</si>
  <si>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</si>
  <si>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</si>
  <si>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</si>
  <si>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</si>
  <si>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</si>
  <si>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</si>
  <si>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</si>
  <si>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</si>
  <si>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</si>
  <si>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</si>
  <si>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</si>
  <si>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</si>
  <si>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</si>
  <si>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</si>
  <si>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</si>
  <si>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</si>
  <si>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</si>
  <si>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</si>
  <si>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</si>
  <si>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</si>
  <si>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</si>
  <si>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</si>
  <si>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</si>
  <si>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</si>
  <si>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</si>
  <si>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</si>
  <si>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</si>
  <si>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</si>
  <si>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</si>
  <si>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</si>
  <si>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</si>
  <si>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</si>
  <si>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</si>
  <si>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</si>
  <si>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</si>
  <si>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</si>
  <si>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</si>
  <si>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</si>
  <si>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</si>
  <si>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</si>
  <si>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</si>
  <si>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</si>
  <si>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</si>
  <si>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</si>
  <si>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</si>
  <si>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</si>
  <si>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</si>
  <si>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</si>
  <si>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</si>
  <si>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</si>
  <si>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</si>
  <si>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</si>
  <si>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</si>
  <si>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</si>
  <si>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</si>
  <si>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</si>
  <si>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</si>
  <si>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</si>
  <si>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</si>
  <si>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</si>
  <si>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</si>
  <si>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</si>
  <si>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</si>
  <si>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</si>
  <si>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</si>
  <si>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</si>
  <si>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</si>
  <si>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</si>
  <si>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</si>
  <si>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</si>
  <si>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</si>
  <si>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</si>
  <si>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</si>
  <si>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</si>
  <si>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</si>
  <si>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</si>
  <si>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</si>
  <si>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</si>
  <si>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</si>
  <si>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</si>
  <si>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</si>
  <si>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</si>
  <si>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</si>
  <si>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</si>
  <si>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</si>
  <si>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</si>
  <si>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</si>
  <si>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</si>
  <si>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</si>
  <si>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</si>
  <si>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</si>
  <si>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</si>
  <si>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</si>
  <si>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</si>
  <si>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</si>
  <si>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</si>
  <si>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</si>
  <si>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</si>
  <si>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</si>
  <si>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</si>
  <si>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</si>
  <si>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</si>
  <si>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</si>
  <si>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</si>
  <si>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</si>
  <si>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</si>
  <si>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</si>
  <si>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</si>
  <si>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</si>
  <si>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</si>
  <si>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</si>
  <si>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</si>
  <si>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</si>
  <si>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</si>
  <si>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</si>
  <si>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</si>
  <si>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</si>
  <si>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</si>
  <si>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</si>
  <si>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</si>
  <si>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</si>
  <si>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</si>
  <si>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</si>
  <si>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</si>
  <si>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</si>
  <si>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</si>
  <si>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</si>
  <si>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</si>
  <si>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</si>
  <si>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</si>
  <si>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</si>
  <si>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</si>
  <si>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</si>
  <si>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</si>
  <si>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</si>
  <si>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</si>
  <si>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</si>
  <si>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</si>
  <si>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</si>
  <si>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</si>
  <si>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</si>
  <si>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</si>
  <si>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</si>
  <si>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</si>
  <si>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</si>
  <si>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</si>
  <si>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</si>
  <si>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</si>
  <si>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</si>
  <si>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</si>
  <si>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</si>
  <si>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</si>
  <si>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</si>
  <si>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</si>
  <si>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</si>
  <si>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</si>
  <si>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</si>
  <si>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</si>
  <si>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</si>
  <si>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</si>
  <si>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</si>
  <si>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</si>
  <si>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</si>
  <si>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</si>
  <si>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</si>
  <si>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</si>
  <si>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</si>
  <si>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</si>
  <si>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</si>
  <si>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</si>
  <si>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</si>
  <si>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</si>
  <si>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</si>
  <si>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</si>
  <si>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</si>
  <si>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</si>
  <si>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</si>
  <si>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</si>
  <si>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</si>
  <si>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</si>
  <si>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</si>
  <si>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</si>
  <si>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</si>
  <si>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</si>
  <si>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</si>
  <si>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</si>
  <si>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</si>
  <si>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</si>
  <si>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</si>
  <si>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</si>
  <si>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</si>
  <si>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</si>
  <si>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</si>
  <si>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</si>
  <si>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</si>
  <si>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</si>
  <si>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</si>
  <si>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</si>
  <si>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</si>
  <si>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</si>
  <si>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</si>
  <si>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</si>
  <si>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</si>
  <si>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</si>
  <si>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</si>
  <si>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</si>
  <si>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</si>
  <si>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</si>
  <si>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</si>
  <si>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</si>
  <si>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</si>
  <si>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</si>
  <si>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</si>
  <si>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</si>
  <si>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</si>
  <si>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</si>
  <si>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</si>
  <si>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</si>
  <si>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</si>
  <si>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</si>
  <si>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</si>
  <si>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</si>
  <si>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</si>
  <si>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</si>
  <si>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</si>
  <si>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</si>
  <si>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</si>
  <si>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</si>
  <si>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</si>
  <si>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</si>
  <si>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</si>
  <si>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</si>
  <si>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</si>
  <si>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</si>
  <si>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</si>
  <si>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</si>
  <si>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</si>
  <si>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</si>
  <si>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</si>
  <si>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</si>
  <si>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</si>
  <si>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</si>
  <si>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</si>
  <si>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</si>
  <si>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</si>
  <si>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</si>
  <si>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</si>
  <si>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</si>
  <si>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</si>
  <si>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</si>
  <si>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</si>
  <si>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</si>
  <si>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</si>
  <si>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</si>
  <si>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</si>
  <si>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</si>
  <si>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</si>
  <si>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</si>
  <si>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</si>
  <si>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</si>
  <si>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</si>
  <si>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</si>
  <si>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</si>
  <si>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</si>
  <si>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</si>
  <si>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</si>
  <si>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</si>
  <si>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</si>
  <si>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</si>
  <si>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</si>
  <si>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</si>
  <si>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</si>
  <si>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</si>
  <si>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</si>
  <si>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</si>
  <si>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</si>
  <si>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</si>
  <si>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</si>
  <si>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</si>
  <si>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</si>
  <si>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</si>
  <si>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</si>
  <si>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</si>
  <si>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</si>
  <si>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</si>
  <si>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</si>
  <si>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</si>
  <si>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</si>
  <si>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</si>
  <si>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</si>
  <si>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</si>
  <si>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</si>
  <si>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</si>
  <si>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</si>
  <si>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</si>
  <si>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</si>
  <si>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</si>
  <si>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</si>
  <si>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</si>
  <si>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</si>
  <si>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</si>
  <si>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</si>
  <si>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</si>
  <si>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</si>
  <si>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</si>
  <si>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</si>
  <si>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</si>
  <si>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</si>
  <si>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</si>
  <si>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</si>
  <si>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</si>
  <si>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</si>
  <si>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</si>
  <si>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</si>
  <si>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</si>
  <si>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</si>
  <si>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</si>
  <si>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</si>
  <si>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</si>
  <si>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</si>
  <si>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</si>
  <si>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</si>
  <si>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</si>
  <si>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</si>
  <si>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</si>
  <si>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</si>
  <si>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</si>
  <si>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</si>
  <si>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</si>
  <si>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</si>
  <si>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</si>
  <si>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</si>
  <si>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</si>
  <si>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</si>
  <si>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</si>
  <si>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</si>
  <si>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</si>
  <si>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</si>
  <si>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</si>
  <si>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</si>
  <si>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</si>
  <si>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</si>
  <si>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</si>
  <si>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</si>
  <si>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</si>
  <si>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</si>
  <si>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</si>
  <si>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</si>
  <si>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</si>
  <si>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</si>
  <si>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</si>
  <si>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</si>
  <si>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</si>
  <si>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</si>
  <si>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</si>
  <si>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</si>
  <si>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</si>
  <si>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</si>
  <si>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</si>
  <si>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</si>
  <si>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</si>
  <si>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</si>
  <si>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</si>
  <si>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</si>
  <si>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</si>
  <si>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</si>
  <si>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</si>
  <si>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</si>
  <si>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</si>
  <si>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</si>
  <si>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</si>
  <si>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</si>
  <si>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</si>
  <si>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</si>
  <si>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</si>
  <si>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</si>
  <si>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</si>
  <si>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</si>
  <si>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</si>
  <si>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</si>
  <si>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</si>
  <si>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</si>
  <si>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</si>
  <si>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</si>
  <si>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</si>
  <si>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</si>
  <si>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</si>
  <si>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</si>
  <si>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</si>
  <si>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</si>
  <si>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</si>
  <si>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</si>
  <si>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</si>
  <si>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</si>
  <si>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</si>
  <si>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</si>
  <si>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</si>
  <si>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</si>
  <si>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</si>
  <si>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</si>
  <si>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</si>
  <si>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</si>
  <si>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</si>
  <si>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</si>
  <si>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</si>
  <si>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</si>
  <si>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</si>
  <si>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</si>
  <si>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</si>
  <si>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</si>
  <si>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</si>
  <si>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</si>
  <si>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</si>
  <si>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</si>
  <si>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</si>
  <si>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</si>
  <si>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</si>
  <si>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</si>
  <si>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</si>
  <si>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</si>
  <si>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</si>
  <si>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</si>
  <si>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</si>
  <si>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</si>
  <si>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</si>
  <si>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</si>
  <si>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</si>
  <si>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</si>
  <si>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</si>
  <si>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</si>
  <si>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</si>
  <si>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</si>
  <si>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</si>
  <si>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</si>
  <si>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</si>
  <si>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</si>
  <si>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</si>
  <si>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</si>
  <si>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</si>
  <si>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</si>
  <si>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</si>
  <si>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</si>
  <si>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</si>
  <si>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</si>
  <si>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</si>
  <si>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</si>
  <si>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</si>
  <si>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</si>
  <si>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</si>
  <si>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</si>
  <si>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</si>
  <si>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</si>
  <si>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</si>
  <si>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</si>
  <si>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</si>
  <si>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</si>
  <si>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</si>
  <si>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</si>
  <si>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</si>
  <si>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</si>
  <si>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</si>
  <si>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</si>
  <si>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</si>
  <si>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</si>
  <si>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</si>
  <si>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</si>
  <si>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</si>
  <si>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</si>
  <si>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</si>
  <si>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</si>
  <si>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</si>
  <si>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</si>
  <si>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</si>
  <si>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</si>
  <si>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</si>
  <si>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</si>
  <si>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</si>
  <si>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</si>
  <si>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</si>
  <si>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</si>
  <si>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</si>
  <si>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</si>
  <si>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</si>
  <si>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</si>
  <si>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</si>
  <si>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</si>
  <si>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</si>
  <si>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</si>
  <si>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</si>
  <si>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</si>
  <si>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</si>
  <si>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</si>
  <si>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</si>
  <si>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</si>
  <si>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</si>
  <si>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</si>
  <si>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</si>
  <si>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</si>
  <si>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</si>
  <si>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</si>
  <si>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</si>
  <si>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</si>
  <si>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</si>
  <si>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</si>
  <si>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</si>
  <si>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</si>
  <si>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</si>
  <si>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</si>
  <si>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</si>
  <si>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</si>
  <si>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</si>
  <si>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</si>
  <si>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</si>
  <si>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</si>
  <si>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</si>
  <si>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</si>
  <si>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</si>
  <si>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</si>
  <si>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</si>
  <si>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</si>
  <si>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</si>
  <si>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</si>
  <si>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</si>
  <si>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</si>
  <si>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</si>
  <si>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</si>
  <si>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</si>
  <si>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</si>
  <si>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</si>
  <si>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</si>
  <si>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</si>
  <si>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</si>
  <si>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</si>
  <si>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</si>
  <si>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</si>
  <si>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</si>
  <si>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</si>
  <si>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</si>
  <si>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</si>
  <si>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</si>
  <si>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</si>
  <si>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</si>
  <si>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</si>
  <si>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</si>
  <si>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</si>
  <si>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</si>
  <si>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</si>
  <si>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</si>
  <si>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</si>
  <si>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</si>
  <si>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</si>
  <si>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</si>
  <si>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</si>
  <si>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</si>
  <si>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</si>
  <si>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</si>
  <si>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</si>
  <si>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</si>
  <si>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</si>
  <si>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</si>
  <si>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</si>
  <si>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</si>
  <si>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</si>
  <si>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</si>
  <si>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</si>
  <si>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</si>
  <si>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</si>
  <si>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</si>
  <si>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</si>
  <si>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</si>
  <si>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</si>
  <si>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</si>
  <si>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</si>
  <si>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</si>
  <si>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</si>
  <si>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</si>
  <si>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</si>
  <si>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</si>
  <si>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</si>
  <si>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</si>
  <si>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</si>
  <si>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</si>
  <si>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</si>
  <si>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</si>
  <si>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</si>
  <si>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</si>
  <si>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</si>
  <si>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</si>
  <si>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</si>
  <si>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</si>
  <si>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</si>
  <si>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</si>
  <si>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</si>
  <si>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</si>
  <si>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</si>
  <si>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</si>
  <si>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</si>
  <si>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</si>
  <si>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</si>
  <si>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</si>
  <si>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</si>
  <si>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</si>
  <si>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</si>
  <si>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</si>
  <si>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</si>
  <si>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</si>
  <si>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</si>
  <si>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</si>
  <si>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</si>
  <si>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</si>
  <si>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</si>
  <si>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</si>
  <si>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</si>
  <si>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</si>
  <si>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</si>
  <si>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</si>
  <si>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</si>
  <si>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</si>
  <si>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</si>
  <si>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</si>
  <si>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</si>
  <si>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</si>
  <si>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</si>
  <si>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</si>
  <si>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</si>
  <si>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</si>
  <si>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</si>
  <si>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</si>
  <si>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</si>
  <si>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</si>
  <si>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</si>
  <si>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</si>
  <si>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</si>
  <si>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</si>
  <si>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</si>
  <si>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</si>
  <si>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</si>
  <si>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</si>
  <si>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</si>
  <si>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</si>
  <si>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</si>
  <si>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</si>
  <si>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</si>
  <si>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</si>
  <si>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</si>
  <si>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</si>
  <si>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</si>
  <si>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</si>
  <si>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</si>
  <si>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</si>
  <si>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</si>
  <si>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</si>
  <si>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</si>
  <si>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</si>
  <si>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</si>
  <si>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</si>
  <si>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</si>
  <si>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</si>
  <si>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</si>
  <si>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</si>
  <si>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</si>
  <si>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</si>
  <si>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</si>
  <si>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</si>
  <si>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</si>
  <si>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</si>
  <si>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</si>
  <si>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</si>
  <si>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</si>
  <si>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</si>
  <si>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</si>
  <si>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</si>
  <si>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</si>
  <si>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</si>
  <si>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</si>
  <si>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</si>
  <si>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</si>
  <si>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</si>
  <si>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</si>
  <si>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</si>
  <si>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</si>
  <si>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</si>
  <si>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</si>
  <si>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</si>
  <si>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</si>
  <si>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</si>
  <si>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</si>
  <si>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</si>
  <si>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</si>
  <si>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</si>
  <si>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</si>
  <si>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</si>
  <si>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</si>
  <si>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</si>
  <si>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</si>
  <si>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</si>
  <si>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</si>
  <si>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</si>
  <si>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</si>
  <si>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</si>
  <si>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</si>
  <si>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</si>
  <si>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</si>
  <si>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</si>
  <si>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</si>
  <si>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</si>
  <si>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</si>
  <si>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</si>
  <si>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</si>
  <si>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</si>
  <si>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</si>
  <si>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</si>
  <si>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</si>
  <si>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</si>
  <si>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</si>
  <si>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</si>
  <si>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</si>
  <si>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</si>
  <si>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</si>
  <si>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</si>
  <si>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</si>
  <si>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</si>
  <si>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</si>
  <si>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</si>
  <si>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</si>
  <si>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</si>
  <si>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</si>
  <si>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</si>
  <si>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</si>
  <si>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</si>
  <si>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</si>
  <si>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</si>
  <si>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</si>
  <si>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</si>
  <si>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</si>
  <si>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</si>
  <si>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</si>
  <si>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</si>
  <si>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</si>
  <si>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</si>
  <si>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</si>
  <si>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</si>
  <si>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</si>
  <si>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</si>
  <si>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</si>
  <si>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</si>
  <si>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</si>
  <si>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</si>
  <si>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</si>
  <si>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</si>
  <si>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</si>
  <si>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</si>
  <si>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</si>
  <si>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</si>
  <si>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</si>
  <si>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</si>
  <si>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</si>
  <si>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</si>
  <si>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</si>
  <si>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</si>
  <si>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</si>
  <si>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</si>
  <si>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</si>
  <si>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</si>
  <si>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</si>
  <si>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</si>
  <si>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</si>
  <si>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</si>
  <si>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</si>
  <si>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</si>
  <si>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</si>
  <si>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</si>
  <si>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</si>
  <si>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</si>
  <si>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</si>
  <si>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</si>
  <si>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</si>
  <si>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</si>
  <si>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</si>
  <si>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</si>
  <si>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</si>
  <si>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</si>
  <si>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</si>
  <si>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</si>
  <si>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</si>
  <si>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</si>
  <si>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</si>
  <si>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</si>
  <si>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</si>
  <si>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</si>
  <si>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</si>
  <si>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</si>
  <si>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</si>
  <si>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</si>
  <si>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</si>
  <si>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</si>
  <si>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</si>
  <si>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</si>
  <si>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</si>
  <si>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</si>
  <si>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</si>
  <si>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</si>
  <si>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</si>
  <si>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</si>
  <si>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</si>
  <si>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</si>
  <si>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</si>
  <si>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</si>
  <si>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</si>
  <si>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</si>
  <si>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</si>
  <si>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</si>
  <si>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</si>
  <si>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</si>
  <si>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</si>
  <si>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</si>
  <si>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</si>
  <si>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</si>
  <si>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</si>
  <si>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</si>
  <si>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</si>
  <si>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</si>
  <si>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</si>
  <si>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</si>
  <si>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</si>
  <si>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</si>
  <si>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</si>
  <si>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</si>
  <si>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</si>
  <si>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</si>
  <si>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</si>
  <si>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</si>
  <si>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</si>
  <si>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</si>
  <si>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</si>
  <si>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</si>
  <si>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</si>
  <si>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</si>
  <si>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</si>
  <si>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</si>
  <si>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</si>
  <si>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</si>
  <si>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</si>
  <si>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</si>
  <si>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</si>
  <si>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</si>
  <si>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</si>
  <si>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</si>
  <si>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</si>
  <si>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</si>
  <si>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</si>
  <si>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</si>
  <si>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</si>
  <si>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</si>
  <si>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</si>
  <si>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</si>
  <si>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</si>
  <si>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</si>
  <si>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</si>
  <si>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</si>
  <si>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</si>
  <si>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</si>
  <si>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</si>
  <si>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</si>
  <si>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</si>
  <si>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</si>
  <si>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</si>
  <si>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</si>
  <si>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</si>
  <si>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</si>
  <si>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</si>
  <si>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</si>
  <si>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</si>
  <si>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</si>
  <si>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</si>
  <si>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</si>
  <si>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</si>
  <si>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</si>
  <si>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</si>
  <si>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</si>
  <si>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</si>
  <si>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</si>
  <si>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</si>
  <si>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</si>
  <si>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</si>
  <si>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</si>
  <si>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</si>
  <si>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</si>
  <si>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</si>
  <si>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</si>
  <si>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</si>
  <si>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</si>
  <si>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</si>
  <si>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</si>
  <si>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</si>
  <si>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</si>
  <si>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</si>
  <si>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</si>
  <si>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</si>
  <si>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</si>
  <si>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</si>
  <si>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</si>
  <si>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</si>
  <si>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</si>
  <si>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</si>
  <si>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</si>
  <si>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</si>
  <si>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</si>
  <si>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</si>
  <si>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</si>
  <si>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</si>
  <si>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</si>
  <si>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</si>
  <si>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</si>
  <si>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</si>
  <si>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</si>
  <si>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</si>
  <si>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</si>
  <si>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</si>
  <si>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</si>
  <si>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</si>
  <si>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</si>
  <si>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</si>
  <si>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</si>
  <si>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</si>
  <si>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</si>
  <si>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</si>
  <si>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</si>
  <si>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</si>
  <si>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</si>
  <si>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</si>
  <si>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</si>
  <si>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</si>
  <si>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</si>
  <si>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</si>
  <si>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</si>
  <si>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</si>
  <si>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</si>
  <si>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</si>
  <si>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</si>
  <si>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</si>
  <si>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</si>
  <si>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</si>
  <si>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</si>
  <si>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</si>
  <si>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</si>
  <si>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</si>
  <si>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</si>
  <si>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</si>
  <si>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</si>
  <si>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</si>
  <si>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</si>
  <si>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</si>
  <si>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</si>
  <si>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</si>
  <si>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</si>
  <si>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</si>
  <si>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</si>
  <si>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</si>
  <si>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</si>
  <si>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</si>
  <si>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</si>
  <si>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</si>
  <si>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</si>
  <si>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</si>
  <si>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</si>
  <si>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</si>
  <si>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</si>
  <si>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</si>
  <si>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</si>
  <si>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</si>
  <si>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</si>
  <si>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</si>
  <si>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</si>
  <si>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</si>
  <si>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</si>
  <si>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</si>
  <si>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</si>
  <si>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</si>
  <si>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</si>
  <si>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</si>
  <si>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</si>
  <si>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</si>
  <si>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</si>
  <si>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</si>
  <si>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</si>
  <si>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</si>
  <si>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</si>
  <si>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</si>
  <si>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</si>
  <si>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</si>
  <si>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</si>
  <si>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</si>
  <si>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</si>
  <si>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</si>
  <si>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</si>
  <si>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</si>
  <si>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</si>
  <si>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</si>
  <si>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</si>
  <si>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</si>
  <si>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</si>
  <si>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</si>
  <si>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</si>
  <si>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</si>
  <si>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</si>
  <si>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</si>
  <si>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</si>
  <si>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</si>
  <si>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</si>
  <si>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</si>
  <si>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</si>
  <si>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</si>
  <si>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</si>
  <si>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</si>
  <si>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</si>
  <si>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</si>
  <si>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</si>
  <si>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</si>
  <si>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</si>
  <si>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</si>
  <si>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</si>
  <si>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</si>
  <si>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</si>
  <si>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</si>
  <si>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</si>
  <si>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</si>
  <si>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</si>
  <si>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</si>
  <si>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</si>
  <si>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</si>
  <si>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</si>
  <si>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</si>
  <si>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</si>
  <si>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</si>
  <si>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</si>
  <si>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</si>
  <si>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</si>
  <si>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</si>
  <si>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</si>
  <si>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</si>
  <si>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</si>
  <si>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</si>
  <si>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</si>
  <si>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</si>
  <si>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</si>
  <si>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</si>
  <si>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</si>
  <si>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</si>
  <si>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</si>
  <si>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</si>
  <si>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</si>
  <si>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</si>
  <si>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</si>
  <si>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</si>
  <si>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</si>
  <si>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</si>
  <si>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</si>
  <si>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</si>
  <si>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</si>
  <si>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</si>
  <si>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</si>
  <si>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</si>
  <si>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</si>
  <si>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</si>
  <si>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</si>
  <si>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</si>
  <si>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</si>
  <si>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</si>
  <si>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</si>
  <si>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</si>
  <si>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</si>
  <si>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</si>
  <si>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</si>
  <si>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</si>
  <si>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</si>
  <si>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</si>
  <si>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</si>
  <si>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</si>
  <si>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</si>
  <si>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</si>
  <si>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</si>
  <si>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</si>
  <si>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</si>
  <si>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</si>
  <si>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</si>
  <si>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</si>
  <si>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</si>
  <si>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</si>
  <si>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</si>
  <si>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</si>
  <si>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</si>
  <si>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</si>
  <si>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</si>
  <si>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</si>
  <si>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</si>
  <si>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</si>
  <si>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</si>
  <si>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</si>
  <si>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</si>
  <si>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</si>
  <si>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</si>
  <si>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</si>
  <si>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</si>
  <si>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</si>
  <si>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</si>
  <si>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</si>
  <si>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</si>
  <si>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</si>
  <si>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</si>
  <si>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</si>
  <si>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</si>
  <si>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</si>
  <si>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</si>
  <si>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</si>
  <si>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</si>
  <si>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</si>
  <si>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</si>
  <si>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</si>
  <si>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</si>
  <si>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</si>
  <si>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</si>
  <si>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</si>
  <si>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</si>
  <si>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</si>
  <si>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</si>
  <si>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</si>
  <si>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</si>
  <si>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</si>
  <si>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</si>
  <si>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</si>
  <si>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</si>
  <si>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</si>
  <si>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</si>
  <si>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</si>
  <si>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</si>
  <si>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</si>
  <si>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</si>
  <si>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</si>
  <si>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</si>
  <si>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</si>
  <si>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</si>
  <si>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</si>
  <si>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</si>
  <si>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</si>
  <si>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</si>
  <si>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</si>
  <si>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</si>
  <si>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</si>
  <si>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</si>
  <si>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</si>
  <si>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</si>
  <si>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</si>
  <si>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</si>
  <si>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</si>
  <si>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</si>
  <si>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</si>
  <si>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</si>
  <si>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</si>
  <si>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</si>
  <si>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</si>
  <si>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</si>
  <si>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</si>
  <si>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</si>
  <si>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</si>
  <si>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</si>
  <si>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</si>
  <si>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</si>
  <si>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</si>
  <si>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</si>
  <si>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</si>
  <si>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</si>
  <si>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</si>
  <si>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</si>
  <si>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</si>
  <si>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</si>
  <si>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</si>
  <si>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</si>
  <si>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</si>
  <si>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</si>
  <si>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</si>
  <si>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</si>
  <si>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</si>
  <si>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</si>
  <si>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</si>
  <si>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</si>
  <si>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</si>
  <si>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</si>
  <si>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</si>
  <si>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</si>
  <si>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</si>
  <si>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</si>
  <si>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</si>
  <si>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</si>
  <si>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</si>
  <si>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</si>
  <si>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</si>
  <si>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</si>
  <si>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</si>
  <si>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</si>
  <si>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</si>
  <si>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</si>
  <si>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</si>
  <si>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</si>
  <si>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</si>
  <si>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</si>
  <si>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</si>
  <si>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</si>
  <si>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</si>
  <si>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</si>
  <si>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</si>
  <si>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</si>
  <si>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</si>
  <si>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</si>
  <si>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</si>
  <si>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</si>
  <si>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</si>
  <si>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</si>
  <si>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</si>
  <si>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</si>
  <si>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</si>
  <si>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</si>
  <si>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</si>
  <si>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</si>
  <si>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</si>
  <si>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</si>
  <si>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</si>
  <si>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</si>
  <si>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</si>
  <si>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</si>
  <si>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</si>
  <si>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</si>
  <si>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</si>
  <si>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</si>
  <si>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</si>
  <si>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</si>
  <si>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</si>
  <si>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</si>
  <si>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</si>
  <si>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</si>
  <si>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</si>
  <si>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</si>
  <si>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</si>
  <si>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</si>
  <si>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</si>
  <si>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</si>
  <si>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</si>
  <si>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</si>
  <si>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</si>
  <si>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</si>
  <si>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</si>
  <si>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</si>
  <si>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</si>
  <si>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</si>
  <si>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</si>
  <si>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</si>
  <si>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</si>
  <si>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</si>
  <si>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</si>
  <si>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</si>
  <si>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</si>
  <si>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</si>
  <si>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</si>
  <si>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</si>
  <si>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</si>
  <si>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</si>
  <si>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</si>
  <si>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</si>
  <si>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</si>
  <si>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</si>
  <si>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</si>
  <si>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</si>
  <si>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</si>
  <si>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</si>
  <si>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</si>
  <si>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</si>
  <si>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</si>
  <si>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</si>
  <si>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</si>
  <si>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</si>
  <si>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</si>
  <si>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</si>
  <si>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</si>
  <si>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</si>
  <si>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</si>
  <si>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</si>
  <si>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</si>
  <si>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</si>
  <si>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</si>
  <si>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</si>
  <si>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</si>
  <si>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</si>
  <si>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</si>
  <si>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</si>
  <si>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</si>
  <si>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</si>
  <si>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</si>
  <si>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</si>
  <si>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</si>
  <si>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</si>
  <si>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</si>
  <si>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</si>
  <si>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</si>
  <si>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</si>
  <si>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</si>
  <si>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</si>
  <si>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</si>
  <si>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</si>
  <si>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</si>
  <si>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</si>
  <si>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</si>
  <si>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</si>
  <si>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</si>
  <si>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</si>
  <si>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</si>
  <si>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</si>
  <si>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</si>
  <si>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</si>
  <si>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</si>
  <si>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</si>
  <si>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</si>
  <si>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</si>
  <si>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</si>
  <si>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</si>
  <si>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</si>
  <si>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</si>
  <si>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</si>
  <si>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</si>
  <si>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</si>
  <si>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</si>
  <si>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</si>
  <si>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</si>
  <si>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</si>
  <si>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</si>
  <si>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</si>
  <si>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</si>
  <si>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</si>
  <si>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</si>
  <si>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</si>
  <si>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</si>
  <si>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</si>
  <si>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</si>
  <si>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</si>
  <si>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</si>
  <si>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</si>
  <si>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</si>
  <si>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</si>
  <si>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</si>
  <si>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</si>
  <si>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</si>
  <si>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</si>
  <si>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</si>
  <si>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</si>
  <si>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</si>
  <si>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</si>
  <si>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</si>
  <si>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</si>
  <si>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</si>
  <si>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</si>
  <si>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</si>
  <si>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</si>
  <si>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</si>
  <si>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</si>
  <si>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</si>
  <si>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</si>
  <si>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</si>
  <si>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</si>
  <si>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</si>
  <si>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</si>
  <si>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</si>
  <si>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</si>
  <si>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</si>
  <si>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</si>
  <si>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</si>
  <si>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</si>
  <si>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</si>
  <si>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</si>
  <si>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</si>
  <si>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</si>
  <si>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</si>
  <si>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</si>
  <si>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</si>
  <si>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</si>
  <si>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</si>
  <si>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</si>
  <si>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</si>
  <si>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</si>
  <si>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</si>
  <si>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</si>
  <si>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</si>
  <si>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</si>
  <si>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</si>
  <si>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</si>
  <si>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</si>
  <si>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</si>
  <si>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</si>
  <si>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</si>
  <si>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</si>
  <si>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</si>
  <si>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</si>
  <si>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</si>
  <si>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</si>
  <si>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</si>
  <si>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</si>
  <si>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</si>
  <si>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</si>
  <si>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</si>
  <si>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</si>
  <si>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</si>
  <si>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</si>
  <si>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</si>
  <si>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</si>
  <si>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</si>
  <si>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</si>
  <si>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</si>
  <si>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</si>
  <si>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</si>
  <si>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</si>
  <si>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</si>
  <si>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</si>
  <si>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</si>
  <si>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</si>
  <si>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</si>
  <si>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</si>
  <si>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</si>
  <si>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</si>
  <si>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</si>
  <si>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</si>
  <si>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</si>
  <si>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</si>
  <si>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</si>
  <si>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</si>
  <si>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</si>
  <si>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</si>
  <si>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</si>
  <si>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</si>
  <si>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</si>
  <si>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</si>
  <si>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</si>
  <si>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</si>
  <si>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</si>
  <si>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</si>
  <si>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</si>
  <si>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</si>
  <si>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</si>
  <si>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</si>
  <si>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</si>
  <si>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</si>
  <si>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</si>
  <si>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</si>
  <si>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</si>
  <si>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</si>
  <si>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</si>
  <si>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</si>
  <si>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</si>
  <si>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</si>
  <si>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</si>
  <si>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</si>
  <si>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</si>
  <si>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</si>
  <si>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</si>
  <si>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</si>
  <si>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</si>
  <si>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</si>
  <si>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</si>
  <si>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</si>
  <si>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</si>
  <si>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</si>
  <si>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</si>
  <si>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</si>
  <si>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</si>
  <si>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</si>
  <si>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</si>
  <si>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</si>
  <si>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</si>
  <si>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</si>
  <si>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</si>
  <si>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</si>
  <si>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</si>
  <si>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</si>
  <si>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</si>
  <si>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</si>
  <si>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</si>
  <si>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</si>
  <si>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</si>
  <si>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</si>
  <si>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</si>
  <si>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</si>
  <si>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</si>
  <si>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</si>
  <si>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</si>
  <si>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</si>
  <si>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</si>
  <si>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</si>
  <si>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</si>
  <si>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</si>
  <si>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</si>
  <si>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</si>
  <si>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</si>
  <si>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</si>
  <si>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</si>
  <si>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</si>
  <si>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</si>
  <si>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</si>
  <si>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</si>
  <si>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</si>
  <si>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</si>
  <si>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</si>
  <si>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</si>
  <si>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</si>
  <si>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</si>
  <si>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</si>
  <si>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</si>
  <si>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</si>
  <si>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</si>
  <si>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</si>
  <si>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</si>
  <si>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</si>
  <si>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</si>
  <si>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</si>
  <si>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</si>
  <si>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</si>
  <si>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</si>
  <si>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</si>
  <si>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</si>
  <si>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</si>
  <si>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</si>
  <si>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</si>
  <si>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</si>
  <si>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</si>
  <si>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</si>
  <si>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</si>
  <si>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</si>
  <si>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</si>
  <si>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</si>
  <si>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</si>
  <si>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</si>
  <si>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</si>
  <si>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</si>
  <si>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</si>
  <si>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</si>
  <si>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</si>
  <si>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</si>
  <si>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</si>
  <si>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</si>
  <si>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</si>
  <si>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</si>
  <si>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</si>
  <si>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</si>
  <si>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</si>
  <si>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</si>
  <si>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</si>
  <si>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</si>
  <si>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</si>
  <si>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</si>
  <si>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</si>
  <si>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</si>
  <si>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</si>
  <si>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</si>
  <si>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</si>
  <si>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</si>
  <si>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</si>
  <si>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</si>
  <si>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</si>
  <si>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</si>
  <si>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</si>
  <si>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</si>
  <si>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</si>
  <si>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</si>
  <si>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</si>
  <si>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</si>
  <si>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</si>
  <si>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</si>
  <si>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</si>
  <si>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</si>
  <si>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</si>
  <si>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</si>
  <si>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</si>
  <si>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</si>
  <si>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</si>
  <si>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</si>
  <si>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</si>
  <si>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</si>
  <si>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</si>
  <si>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</si>
  <si>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</si>
  <si>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</si>
  <si>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</si>
  <si>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</si>
  <si>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</si>
  <si>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</si>
  <si>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</si>
  <si>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</si>
  <si>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</si>
  <si>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</si>
  <si>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</si>
  <si>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</si>
  <si>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</si>
  <si>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</si>
  <si>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</si>
  <si>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</si>
  <si>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</si>
  <si>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</si>
  <si>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</si>
  <si>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</si>
  <si>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</si>
  <si>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</si>
  <si>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</si>
  <si>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</si>
  <si>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</si>
  <si>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</si>
  <si>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</si>
  <si>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</si>
  <si>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</si>
  <si>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</si>
  <si>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</si>
  <si>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</si>
  <si>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</si>
  <si>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</si>
  <si>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</si>
  <si>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</si>
  <si>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</si>
  <si>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</si>
  <si>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</si>
  <si>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</si>
  <si>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</si>
  <si>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</si>
  <si>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</si>
  <si>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</si>
  <si>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</si>
  <si>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</si>
  <si>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</si>
  <si>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</si>
  <si>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</si>
  <si>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</si>
  <si>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</si>
  <si>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</si>
  <si>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</si>
  <si>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</si>
  <si>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</si>
  <si>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</si>
  <si>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</si>
  <si>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</si>
  <si>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</si>
  <si>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</si>
  <si>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</si>
  <si>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</si>
  <si>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</si>
  <si>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</si>
  <si>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</si>
  <si>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</si>
  <si>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</si>
  <si>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</si>
  <si>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</si>
  <si>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</si>
  <si>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</si>
  <si>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</si>
  <si>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</si>
  <si>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</si>
  <si>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</si>
  <si>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</si>
  <si>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</si>
  <si>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</si>
  <si>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</si>
  <si>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</si>
  <si>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</si>
  <si>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</si>
  <si>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</si>
  <si>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</si>
  <si>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</si>
  <si>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</si>
  <si>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</si>
  <si>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</si>
  <si>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</si>
  <si>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</si>
  <si>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</si>
  <si>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</si>
  <si>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</si>
  <si>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</si>
  <si>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</si>
  <si>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</si>
  <si>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</si>
  <si>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</si>
  <si>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</si>
  <si>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</si>
  <si>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</si>
  <si>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</si>
  <si>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</si>
  <si>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</si>
  <si>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</si>
  <si>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</si>
  <si>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</si>
  <si>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</si>
  <si>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</si>
  <si>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</si>
  <si>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</si>
  <si>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</si>
  <si>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</si>
  <si>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</si>
  <si>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</si>
  <si>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</si>
  <si>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</si>
  <si>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</si>
  <si>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</si>
  <si>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</si>
  <si>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</si>
  <si>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</si>
  <si>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</si>
  <si>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</si>
  <si>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</si>
  <si>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</si>
  <si>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</si>
  <si>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</si>
  <si>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</si>
  <si>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</si>
  <si>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</si>
  <si>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</si>
  <si>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</si>
  <si>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</si>
  <si>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</si>
  <si>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</si>
  <si>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</si>
  <si>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</si>
  <si>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</si>
  <si>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</si>
  <si>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</si>
  <si>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</si>
  <si>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</si>
  <si>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</si>
  <si>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</si>
  <si>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</si>
  <si>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</si>
  <si>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</si>
  <si>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</si>
  <si>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</si>
  <si>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</si>
  <si>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</si>
  <si>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</si>
  <si>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</si>
  <si>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</si>
  <si>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</si>
  <si>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</si>
  <si>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</si>
  <si>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</si>
  <si>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</si>
  <si>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</si>
  <si>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</si>
  <si>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</si>
  <si>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</si>
  <si>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</si>
  <si>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</si>
  <si>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</si>
  <si>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</si>
  <si>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</si>
  <si>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</si>
  <si>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</si>
  <si>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</si>
  <si>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</si>
  <si>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</si>
  <si>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</si>
  <si>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</si>
  <si>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</si>
  <si>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</si>
  <si>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</si>
  <si>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</si>
  <si>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</si>
  <si>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</si>
  <si>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</si>
  <si>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</si>
  <si>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</si>
  <si>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</si>
  <si>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</si>
  <si>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</si>
  <si>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</si>
  <si>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</si>
  <si>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</si>
  <si>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</si>
  <si>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</si>
  <si>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</si>
  <si>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</si>
  <si>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</si>
  <si>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</si>
  <si>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</si>
  <si>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</si>
  <si>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</si>
  <si>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</si>
  <si>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</si>
  <si>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</si>
  <si>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</si>
  <si>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</si>
  <si>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</si>
  <si>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</si>
  <si>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</si>
  <si>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</si>
  <si>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</si>
  <si>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</si>
  <si>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</si>
  <si>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</si>
  <si>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</si>
  <si>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</si>
  <si>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</si>
  <si>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</si>
  <si>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</si>
  <si>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</si>
  <si>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</si>
  <si>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</si>
  <si>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</si>
  <si>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</si>
  <si>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</si>
  <si>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</si>
  <si>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</si>
  <si>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</si>
  <si>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</si>
  <si>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</si>
  <si>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</si>
  <si>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</si>
  <si>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</si>
  <si>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</si>
  <si>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</si>
  <si>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</si>
  <si>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</si>
  <si>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</si>
  <si>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</si>
  <si>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</si>
  <si>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</si>
  <si>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</si>
  <si>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</si>
  <si>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</si>
  <si>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</si>
  <si>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</si>
  <si>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</si>
  <si>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</si>
  <si>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</si>
  <si>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</si>
  <si>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</si>
  <si>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</si>
  <si>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</si>
  <si>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</si>
  <si>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</si>
  <si>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</si>
  <si>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</si>
  <si>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</si>
  <si>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</si>
  <si>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</si>
  <si>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</si>
  <si>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</si>
  <si>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</si>
  <si>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</si>
  <si>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</si>
  <si>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</si>
  <si>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</si>
  <si>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</si>
  <si>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</si>
  <si>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</si>
  <si>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</si>
  <si>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</si>
  <si>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</si>
  <si>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</si>
  <si>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</si>
  <si>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</si>
  <si>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</si>
  <si>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</si>
  <si>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</si>
  <si>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</si>
  <si>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</si>
  <si>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</si>
  <si>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</si>
  <si>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</si>
  <si>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</si>
  <si>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</si>
  <si>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</si>
  <si>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</si>
  <si>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</si>
  <si>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</si>
  <si>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</si>
  <si>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</si>
  <si>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</si>
  <si>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</si>
  <si>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</si>
  <si>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</si>
  <si>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</si>
  <si>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</si>
  <si>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</si>
  <si>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</si>
  <si>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</si>
  <si>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</si>
  <si>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</si>
  <si>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</si>
  <si>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</si>
  <si>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</si>
  <si>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</si>
  <si>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</si>
  <si>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</si>
  <si>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</si>
  <si>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</si>
  <si>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</si>
  <si>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</si>
  <si>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</si>
  <si>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</si>
  <si>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</si>
  <si>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</si>
  <si>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</si>
  <si>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</si>
  <si>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</si>
  <si>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</si>
  <si>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</si>
  <si>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</si>
  <si>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</si>
  <si>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</si>
  <si>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</si>
  <si>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</si>
  <si>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</si>
  <si>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</si>
  <si>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</si>
  <si>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</si>
  <si>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</si>
  <si>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</si>
  <si>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</si>
  <si>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</si>
  <si>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</si>
  <si>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</si>
  <si>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</si>
  <si>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</si>
  <si>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</si>
  <si>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</si>
  <si>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</si>
  <si>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</si>
  <si>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</si>
  <si>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</si>
  <si>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</si>
  <si>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</si>
  <si>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</si>
  <si>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</si>
  <si>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</si>
  <si>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</si>
  <si>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</si>
  <si>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</si>
  <si>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</si>
  <si>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</si>
  <si>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</si>
  <si>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</si>
  <si>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</si>
  <si>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</si>
  <si>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</si>
  <si>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</si>
  <si>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</si>
  <si>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</si>
  <si>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</si>
  <si>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</si>
  <si>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</si>
  <si>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</si>
  <si>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</si>
  <si>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</si>
  <si>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</si>
  <si>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</si>
  <si>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</si>
  <si>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</si>
  <si>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</si>
  <si>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</si>
  <si>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</si>
  <si>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</si>
  <si>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</si>
  <si>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</si>
  <si>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</si>
  <si>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</si>
  <si>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</si>
  <si>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</si>
  <si>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</si>
  <si>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</si>
  <si>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</si>
  <si>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</si>
  <si>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</si>
  <si>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</si>
  <si>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</si>
  <si>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</si>
  <si>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</si>
  <si>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</si>
  <si>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</si>
  <si>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</si>
  <si>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</si>
  <si>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</si>
  <si>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</si>
  <si>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</si>
  <si>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</si>
  <si>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</si>
  <si>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</si>
  <si>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</si>
  <si>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</si>
  <si>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</si>
  <si>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</si>
  <si>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</si>
  <si>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</si>
  <si>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</si>
  <si>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</si>
  <si>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</si>
  <si>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</si>
  <si>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</si>
  <si>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</si>
  <si>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</si>
  <si>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</si>
  <si>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</si>
  <si>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</si>
  <si>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</si>
  <si>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</si>
  <si>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</si>
  <si>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</si>
  <si>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</si>
  <si>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</si>
  <si>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</si>
  <si>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</si>
  <si>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</si>
  <si>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</si>
  <si>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</si>
  <si>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</si>
  <si>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</si>
  <si>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</si>
  <si>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</si>
  <si>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</si>
  <si>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</si>
  <si>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</si>
  <si>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</si>
  <si>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</si>
  <si>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</si>
  <si>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</si>
  <si>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</si>
  <si>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</si>
  <si>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</si>
  <si>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</si>
  <si>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</si>
  <si>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</si>
  <si>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</si>
  <si>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</si>
  <si>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</si>
  <si>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</si>
  <si>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</si>
  <si>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</si>
  <si>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</si>
  <si>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</si>
  <si>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</si>
  <si>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</si>
  <si>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</si>
  <si>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</si>
  <si>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</si>
  <si>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</si>
  <si>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</si>
  <si>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</si>
  <si>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</si>
  <si>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</si>
  <si>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</si>
  <si>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</si>
  <si>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</si>
  <si>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</si>
  <si>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</si>
  <si>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</si>
  <si>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</si>
  <si>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</si>
  <si>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</si>
  <si>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</si>
  <si>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</si>
  <si>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</si>
  <si>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</si>
  <si>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</si>
  <si>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</si>
  <si>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</si>
  <si>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</si>
  <si>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</si>
  <si>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</si>
  <si>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</si>
  <si>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</si>
  <si>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</si>
  <si>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</si>
  <si>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</si>
  <si>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</si>
  <si>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</si>
  <si>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</si>
  <si>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</si>
  <si>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</si>
  <si>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</si>
  <si>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</si>
  <si>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</si>
  <si>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</si>
  <si>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</si>
  <si>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</si>
  <si>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</si>
  <si>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</si>
  <si>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</si>
  <si>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</si>
  <si>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</si>
  <si>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</si>
  <si>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</si>
  <si>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</si>
  <si>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</si>
  <si>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</si>
  <si>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</si>
  <si>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</si>
  <si>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</si>
  <si>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</si>
  <si>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</si>
  <si>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</si>
  <si>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</si>
  <si>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</si>
  <si>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</si>
  <si>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</si>
  <si>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</si>
  <si>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</si>
  <si>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</si>
  <si>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</si>
  <si>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</si>
  <si>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</si>
  <si>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</si>
  <si>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</si>
  <si>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</si>
  <si>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</si>
  <si>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</si>
  <si>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</si>
  <si>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</si>
  <si>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</si>
  <si>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</si>
  <si>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</si>
  <si>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</si>
  <si>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</si>
  <si>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</si>
  <si>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</si>
  <si>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</si>
  <si>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</si>
  <si>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</si>
  <si>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</si>
  <si>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</si>
  <si>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</si>
  <si>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</si>
  <si>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</si>
  <si>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</si>
  <si>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</si>
  <si>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</si>
  <si>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</si>
  <si>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</si>
  <si>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</si>
  <si>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</si>
  <si>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</si>
  <si>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</si>
  <si>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</si>
  <si>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</si>
  <si>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</si>
  <si>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</si>
  <si>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</si>
  <si>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</si>
  <si>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</si>
  <si>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</si>
  <si>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</si>
  <si>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</si>
  <si>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</si>
  <si>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</si>
  <si>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</si>
  <si>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</si>
  <si>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</si>
  <si>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</si>
  <si>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</si>
  <si>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</si>
  <si>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</si>
  <si>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</si>
  <si>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</si>
  <si>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</si>
  <si>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</si>
  <si>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</si>
  <si>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</si>
  <si>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</si>
  <si>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</si>
  <si>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</si>
  <si>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</si>
  <si>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</si>
  <si>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</si>
  <si>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</si>
  <si>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</si>
  <si>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</si>
  <si>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</si>
  <si>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</si>
  <si>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</si>
  <si>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</si>
  <si>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</si>
  <si>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</si>
  <si>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</si>
  <si>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</si>
  <si>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</si>
  <si>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</si>
  <si>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</si>
  <si>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</si>
  <si>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</si>
  <si>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</si>
  <si>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</si>
  <si>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</si>
  <si>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</si>
  <si>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</si>
  <si>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</si>
  <si>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</si>
  <si>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</si>
  <si>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</si>
  <si>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</si>
  <si>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</si>
  <si>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</si>
  <si>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</si>
  <si>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</si>
  <si>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</si>
  <si>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</si>
  <si>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</si>
  <si>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</si>
  <si>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</si>
  <si>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</si>
  <si>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</si>
  <si>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</si>
  <si>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</si>
  <si>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</si>
  <si>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</si>
  <si>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</si>
  <si>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</si>
  <si>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</si>
  <si>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</si>
  <si>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</si>
  <si>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</si>
  <si>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</si>
  <si>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</si>
  <si>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</si>
  <si>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</si>
  <si>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</si>
  <si>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</si>
  <si>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</si>
  <si>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</si>
  <si>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</si>
  <si>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</si>
  <si>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</si>
  <si>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</si>
  <si>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</si>
  <si>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</si>
  <si>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</si>
  <si>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</si>
  <si>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</si>
  <si>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</si>
  <si>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</si>
  <si>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</si>
  <si>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</si>
  <si>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</si>
  <si>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</si>
  <si>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</si>
  <si>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</si>
  <si>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</si>
  <si>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</si>
  <si>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</si>
  <si>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</si>
  <si>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</si>
  <si>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</si>
  <si>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</si>
  <si>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</si>
  <si>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</si>
  <si>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</si>
  <si>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</si>
  <si>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</si>
  <si>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</si>
  <si>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</si>
  <si>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</si>
  <si>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</si>
  <si>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</si>
  <si>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</si>
  <si>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</si>
  <si>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</si>
  <si>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</si>
  <si>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</si>
  <si>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</si>
  <si>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</si>
  <si>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</si>
  <si>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</si>
  <si>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</si>
  <si>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</si>
  <si>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</si>
  <si>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</si>
  <si>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</si>
  <si>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</si>
  <si>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</si>
  <si>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</si>
  <si>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</si>
  <si>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</si>
  <si>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</si>
  <si>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</si>
  <si>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</si>
  <si>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</si>
  <si>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</si>
  <si>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</si>
  <si>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</si>
  <si>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</si>
  <si>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</si>
  <si>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</si>
  <si>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</si>
  <si>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</si>
  <si>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</si>
  <si>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</si>
  <si>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</si>
  <si>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</si>
  <si>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</si>
  <si>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</si>
  <si>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</si>
  <si>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</si>
  <si>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</si>
  <si>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</si>
  <si>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</si>
  <si>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</si>
  <si>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</si>
  <si>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</si>
  <si>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</si>
  <si>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</si>
  <si>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</si>
  <si>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</si>
  <si>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</si>
  <si>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</si>
  <si>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</si>
  <si>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</si>
  <si>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</si>
  <si>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</si>
  <si>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</si>
  <si>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</si>
  <si>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</si>
  <si>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</si>
  <si>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</si>
  <si>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</si>
  <si>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</si>
  <si>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</si>
  <si>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</si>
  <si>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</si>
  <si>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</si>
  <si>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</si>
  <si>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</si>
  <si>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</si>
  <si>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</si>
  <si>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</si>
  <si>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</si>
  <si>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</si>
  <si>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</si>
  <si>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</si>
  <si>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</si>
  <si>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</si>
  <si>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</si>
  <si>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</si>
  <si>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</si>
  <si>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</si>
  <si>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</si>
  <si>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</si>
  <si>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</si>
  <si>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</si>
  <si>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</si>
  <si>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</si>
  <si>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</si>
  <si>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</si>
  <si>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</si>
  <si>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</si>
  <si>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</si>
  <si>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</si>
  <si>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</si>
  <si>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</si>
  <si>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</si>
  <si>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</si>
  <si>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</si>
  <si>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</si>
  <si>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</si>
  <si>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</si>
  <si>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</si>
  <si>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</si>
  <si>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</si>
  <si>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</si>
  <si>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</si>
  <si>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</si>
  <si>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</si>
  <si>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</si>
  <si>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</si>
  <si>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</si>
  <si>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</si>
  <si>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</si>
  <si>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</si>
  <si>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</si>
  <si>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</si>
  <si>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</si>
  <si>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</si>
  <si>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</si>
  <si>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</si>
  <si>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</si>
  <si>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</si>
  <si>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</si>
  <si>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</si>
  <si>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</si>
  <si>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</si>
  <si>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</si>
  <si>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</si>
  <si>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</si>
  <si>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</si>
  <si>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</si>
  <si>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</si>
  <si>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</si>
  <si>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</si>
  <si>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</si>
  <si>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</si>
  <si>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</si>
  <si>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</si>
  <si>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</si>
  <si>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</si>
  <si>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</si>
  <si>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</si>
  <si>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</si>
  <si>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</si>
  <si>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</si>
  <si>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</si>
  <si>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</si>
  <si>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</si>
  <si>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</si>
  <si>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</si>
  <si>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</si>
  <si>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</si>
  <si>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</si>
  <si>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</si>
  <si>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</si>
  <si>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</si>
  <si>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</si>
  <si>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</si>
  <si>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</si>
  <si>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</si>
  <si>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</si>
  <si>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</si>
  <si>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</si>
  <si>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</si>
  <si>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</si>
  <si>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</si>
  <si>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</si>
  <si>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</si>
  <si>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</si>
  <si>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</si>
  <si>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</si>
  <si>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</si>
  <si>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</si>
  <si>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</si>
  <si>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</si>
  <si>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</si>
  <si>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</si>
  <si>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</si>
  <si>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</si>
  <si>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</si>
  <si>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</si>
  <si>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</si>
  <si>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</si>
  <si>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</si>
  <si>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</si>
  <si>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</si>
  <si>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</si>
  <si>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</si>
  <si>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</si>
  <si>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</si>
  <si>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</si>
  <si>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</si>
  <si>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</si>
  <si>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</si>
  <si>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</si>
  <si>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</si>
  <si>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</si>
  <si>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</si>
  <si>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</si>
  <si>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</si>
  <si>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</si>
  <si>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</si>
  <si>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</si>
  <si>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</si>
  <si>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</si>
  <si>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</si>
  <si>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</si>
  <si>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</si>
  <si>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</si>
  <si>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</si>
  <si>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</si>
  <si>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</si>
  <si>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</si>
  <si>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</si>
  <si>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</si>
  <si>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</si>
  <si>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</si>
  <si>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</si>
  <si>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</si>
  <si>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</si>
  <si>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</si>
  <si>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</si>
  <si>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</si>
  <si>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</si>
  <si>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</si>
  <si>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</si>
  <si>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</si>
  <si>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</si>
  <si>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</si>
  <si>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</si>
  <si>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</si>
  <si>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</si>
  <si>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</si>
  <si>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</si>
  <si>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</si>
  <si>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</si>
  <si>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</si>
  <si>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</si>
  <si>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</si>
  <si>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</si>
  <si>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</si>
  <si>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</si>
  <si>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</si>
  <si>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</si>
  <si>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</si>
  <si>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</si>
  <si>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</si>
  <si>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</si>
  <si>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</si>
  <si>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</si>
  <si>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</si>
  <si>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</si>
  <si>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</si>
  <si>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</si>
  <si>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</si>
  <si>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</si>
  <si>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</si>
  <si>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</si>
  <si>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</si>
  <si>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</si>
  <si>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</si>
  <si>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</si>
  <si>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</si>
  <si>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</si>
  <si>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</si>
  <si>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</si>
  <si>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</si>
  <si>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</si>
  <si>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</si>
  <si>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</si>
  <si>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</si>
  <si>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</si>
  <si>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</si>
  <si>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</si>
  <si>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</si>
  <si>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</si>
  <si>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</si>
  <si>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</si>
  <si>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</si>
  <si>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</si>
  <si>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</si>
  <si>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</si>
  <si>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</si>
  <si>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</si>
  <si>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</si>
  <si>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</si>
  <si>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</si>
  <si>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</si>
  <si>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</si>
  <si>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</si>
  <si>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</si>
  <si>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</si>
  <si>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</si>
  <si>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</si>
  <si>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</si>
  <si>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</si>
  <si>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</si>
  <si>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</si>
  <si>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</si>
  <si>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</si>
  <si>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</si>
  <si>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</si>
  <si>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</si>
  <si>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</si>
  <si>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</si>
  <si>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</si>
  <si>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</si>
  <si>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</si>
  <si>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</si>
  <si>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</si>
  <si>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</si>
  <si>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</si>
  <si>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</si>
  <si>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</si>
  <si>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</si>
  <si>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</si>
  <si>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</si>
  <si>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</si>
  <si>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</si>
  <si>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</si>
  <si>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</si>
  <si>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</si>
  <si>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</si>
  <si>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</si>
  <si>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</si>
  <si>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</si>
  <si>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</si>
  <si>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</si>
  <si>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</si>
  <si>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</si>
  <si>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</si>
  <si>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</si>
  <si>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</si>
  <si>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</si>
  <si>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</si>
  <si>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</si>
  <si>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</si>
  <si>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</si>
  <si>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</si>
  <si>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</si>
  <si>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</si>
  <si>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</si>
  <si>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</si>
  <si>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</si>
  <si>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</si>
  <si>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</si>
  <si>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</si>
  <si>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</si>
  <si>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</si>
  <si>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</si>
  <si>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</si>
  <si>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</si>
  <si>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</si>
  <si>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</si>
  <si>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</si>
  <si>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</si>
  <si>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</si>
  <si>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</si>
  <si>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</si>
  <si>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</si>
  <si>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</si>
  <si>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</si>
  <si>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</si>
  <si>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</si>
  <si>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</si>
  <si>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</si>
  <si>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</si>
  <si>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</si>
  <si>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</si>
  <si>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</si>
  <si>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</si>
  <si>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</si>
  <si>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</si>
  <si>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</si>
  <si>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</si>
  <si>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</si>
  <si>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</si>
  <si>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</si>
  <si>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</si>
  <si>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</si>
  <si>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</si>
  <si>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</si>
  <si>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</si>
  <si>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</si>
  <si>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</si>
  <si>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</si>
  <si>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</si>
  <si>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</si>
  <si>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</si>
  <si>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</si>
  <si>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</si>
  <si>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</si>
  <si>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</si>
  <si>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</si>
  <si>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</si>
  <si>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</si>
  <si>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</si>
  <si>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</si>
  <si>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</si>
  <si>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</si>
  <si>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</si>
  <si>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</si>
  <si>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</si>
  <si>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</si>
  <si>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</si>
  <si>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</si>
  <si>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</si>
  <si>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</si>
  <si>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</si>
  <si>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</si>
  <si>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</si>
  <si>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</si>
  <si>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</si>
  <si>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</si>
  <si>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</si>
  <si>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</si>
  <si>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</si>
  <si>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</si>
  <si>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</si>
  <si>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</si>
  <si>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</si>
  <si>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</si>
  <si>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</si>
  <si>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</si>
  <si>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</si>
  <si>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</si>
  <si>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</si>
  <si>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</si>
  <si>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</si>
  <si>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</si>
  <si>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</si>
  <si>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</si>
  <si>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</si>
  <si>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</si>
  <si>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</si>
  <si>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</si>
  <si>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</si>
  <si>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</si>
  <si>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</si>
  <si>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</si>
  <si>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</si>
  <si>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</si>
  <si>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</si>
  <si>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</si>
  <si>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</si>
  <si>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</si>
  <si>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</si>
  <si>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</si>
  <si>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</si>
  <si>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</si>
  <si>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</si>
  <si>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</si>
  <si>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</si>
  <si>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</si>
  <si>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</si>
  <si>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</si>
  <si>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</si>
  <si>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</si>
  <si>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</si>
  <si>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</si>
  <si>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</si>
  <si>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</si>
  <si>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</si>
  <si>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</si>
  <si>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</si>
  <si>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</si>
  <si>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</si>
  <si>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</si>
  <si>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</si>
  <si>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</si>
  <si>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</si>
  <si>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</si>
  <si>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</si>
  <si>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</si>
  <si>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</si>
  <si>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</si>
  <si>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</si>
  <si>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</si>
  <si>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</si>
  <si>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</si>
  <si>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</si>
  <si>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</si>
  <si>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</si>
  <si>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</si>
  <si>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</si>
  <si>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</si>
  <si>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</si>
  <si>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</si>
  <si>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</si>
  <si>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</si>
  <si>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</si>
  <si>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</si>
  <si>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</si>
  <si>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</si>
  <si>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</si>
  <si>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</si>
  <si>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</si>
  <si>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</si>
  <si>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</si>
  <si>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</si>
  <si>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</si>
  <si>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</si>
  <si>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</si>
  <si>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</si>
  <si>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</si>
  <si>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</si>
  <si>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</si>
  <si>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</si>
  <si>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</si>
  <si>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</si>
  <si>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</si>
  <si>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</si>
  <si>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</si>
  <si>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</si>
  <si>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</si>
  <si>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</si>
  <si>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</si>
  <si>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</si>
  <si>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</si>
  <si>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</si>
  <si>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</si>
  <si>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</si>
  <si>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</si>
  <si>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</si>
  <si>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</si>
  <si>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</si>
  <si>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</si>
  <si>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</si>
  <si>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</si>
  <si>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</si>
  <si>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</si>
  <si>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</si>
  <si>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</si>
  <si>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</si>
  <si>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</si>
  <si>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</si>
  <si>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</si>
  <si>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</si>
  <si>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</si>
  <si>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</si>
  <si>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</si>
  <si>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</si>
  <si>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</si>
  <si>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</si>
  <si>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</si>
  <si>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</si>
  <si>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</si>
  <si>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</si>
  <si>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</si>
  <si>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</si>
  <si>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</si>
  <si>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</si>
  <si>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</si>
  <si>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</si>
  <si>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</si>
  <si>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</si>
  <si>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</si>
  <si>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</si>
  <si>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</si>
  <si>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</si>
  <si>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</si>
  <si>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</si>
  <si>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</si>
  <si>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</si>
  <si>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</si>
  <si>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</si>
  <si>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</si>
  <si>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</si>
  <si>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</si>
  <si>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</si>
  <si>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</si>
  <si>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</si>
  <si>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</si>
  <si>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</si>
  <si>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</si>
  <si>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</si>
  <si>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</si>
  <si>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</si>
  <si>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</si>
  <si>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</si>
  <si>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</si>
  <si>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</si>
  <si>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</si>
  <si>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</si>
  <si>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</si>
  <si>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</si>
  <si>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</si>
  <si>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</si>
  <si>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</si>
  <si>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</si>
  <si>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</si>
  <si>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</si>
  <si>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</si>
  <si>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</si>
  <si>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</si>
  <si>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</si>
  <si>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</si>
  <si>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</si>
  <si>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</si>
  <si>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</si>
  <si>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</si>
  <si>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</si>
  <si>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</si>
  <si>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</si>
  <si>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</si>
  <si>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</si>
  <si>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</si>
  <si>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</si>
  <si>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</si>
  <si>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</si>
  <si>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</si>
  <si>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</si>
  <si>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</si>
  <si>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</si>
  <si>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</si>
  <si>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</si>
  <si>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</si>
  <si>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</si>
  <si>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</si>
  <si>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</si>
  <si>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</si>
  <si>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</si>
  <si>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</si>
  <si>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</si>
  <si>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</si>
  <si>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</si>
  <si>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</si>
  <si>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</si>
  <si>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</si>
  <si>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</si>
  <si>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</si>
  <si>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</si>
  <si>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</si>
  <si>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</si>
  <si>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</si>
  <si>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</si>
  <si>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</si>
  <si>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</si>
  <si>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</si>
  <si>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</si>
  <si>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</si>
  <si>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</si>
  <si>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</si>
  <si>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</si>
  <si>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</si>
  <si>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</si>
  <si>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</si>
  <si>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</si>
  <si>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</si>
  <si>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</si>
  <si>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</si>
  <si>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</si>
  <si>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</si>
  <si>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</si>
  <si>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</si>
  <si>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</si>
  <si>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</si>
  <si>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</si>
  <si>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</si>
  <si>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</si>
  <si>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</si>
  <si>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</si>
  <si>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</si>
  <si>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</si>
  <si>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</si>
  <si>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</si>
  <si>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</si>
  <si>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</si>
  <si>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</si>
  <si>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</si>
  <si>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</si>
  <si>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</si>
  <si>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</si>
  <si>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</si>
  <si>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</si>
  <si>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</si>
  <si>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</si>
  <si>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</si>
  <si>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</si>
  <si>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</si>
  <si>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</si>
  <si>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</si>
  <si>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</si>
  <si>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</si>
  <si>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</si>
  <si>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</si>
  <si>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</si>
  <si>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</si>
  <si>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</si>
  <si>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</si>
  <si>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</si>
  <si>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</si>
  <si>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phoneticPr fontId="134" type="noConversion"/>
  </si>
  <si>
    <t>西</t>
  </si>
  <si>
    <r>
      <t>实际为l</t>
    </r>
    <r>
      <rPr>
        <sz val="11"/>
        <color theme="1"/>
        <rFont val="宋体"/>
        <family val="3"/>
        <charset val="134"/>
        <scheme val="minor"/>
      </rPr>
      <t>oft</t>
    </r>
    <phoneticPr fontId="134" type="noConversion"/>
  </si>
  <si>
    <t>3米6</t>
  </si>
  <si>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9</t>
    </r>
    <r>
      <rPr>
        <sz val="10"/>
        <color theme="9" tint="-0.249977111117893"/>
        <rFont val="宋体"/>
        <family val="3"/>
        <charset val="134"/>
      </rPr>
      <t>层</t>
    </r>
    <r>
      <rPr>
        <sz val="10"/>
        <color theme="9" tint="-0.249977111117893"/>
        <rFont val="Arial"/>
        <family val="2"/>
      </rPr>
      <t>913</t>
    </r>
    <phoneticPr fontId="6" type="noConversion"/>
  </si>
  <si>
    <t>西南</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</si>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</sst>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北京市大兴区芳源里1号楼9层913房地产抵押价值预评估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受贵公司委托，我公司对北京市大兴区芳源里1号楼9层913房地产抵押价值进行了预评估。</v>
      </c>
    </row>
    <row r="7" spans="1:2" s="1199" customFormat="1">
      <c r="A7" s="1197" t="s">
        <v>566</v>
      </c>
      <c r="B7" s="1198" t="str">
        <f>'预评函-1'!A7</f>
        <v>估价对象为北京市大兴区芳源里1号楼9层913房地产，为鲍建军所有。根据《国有土地使用证》[]，估价对象（分摊）出让国有建设用地使用权面积为0平方米，建筑面积为109.12平方米。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9层913房地产,属鲍建军开发建设的办公项目，该项目尚在开发建设中。根据《国有土地使用证》[]，估价对象（分摊）出让国有建设用地使用权面积为0平方米，规划建筑面积为109.12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9层913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194</v>
      </c>
    </row>
    <row r="21" spans="1:2" s="1199" customFormat="1">
      <c r="A21" s="1197" t="s">
        <v>537</v>
      </c>
      <c r="B21" s="1198">
        <f ca="1">'预评函-2'!D7</f>
        <v>17803</v>
      </c>
    </row>
    <row r="22" spans="1:2" s="1199" customFormat="1">
      <c r="A22" s="1197" t="s">
        <v>538</v>
      </c>
      <c r="B22" s="1198" t="str">
        <f ca="1">'预评函-2'!D6</f>
        <v>壹佰玖拾肆万元整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194</v>
      </c>
    </row>
    <row r="31" spans="1:2" s="1199" customFormat="1">
      <c r="A31" s="1197" t="s">
        <v>576</v>
      </c>
      <c r="B31" s="1198">
        <f ca="1">'预评函-2'!D15</f>
        <v>17803</v>
      </c>
    </row>
    <row r="32" spans="1:2" s="1199" customFormat="1">
      <c r="A32" s="1197" t="s">
        <v>543</v>
      </c>
      <c r="B32" s="1198" t="str">
        <f ca="1">'预评函-2'!D14</f>
        <v>壹佰玖拾肆万元整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北京市大兴区芳源里1号楼9层913房地产</v>
      </c>
    </row>
    <row r="42" spans="1:2" s="1199" customFormat="1" ht="31.2">
      <c r="A42" s="1197" t="s">
        <v>590</v>
      </c>
      <c r="B42" s="1198" t="str">
        <f>'预评函-3'!B2</f>
        <v>建筑面积</v>
      </c>
    </row>
    <row r="43" spans="1:2" s="1199" customFormat="1">
      <c r="A43" s="1197" t="s">
        <v>591</v>
      </c>
      <c r="B43" s="1198">
        <f>'预评函-3'!B4</f>
        <v>109.12</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9层913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25" t="str">
        <f>IF(B10="北京市","北京市",C10)&amp;F10&amp;IF(结果表!G1="在建","出让国有建设用地使用权及在建建筑物",IF(结果表!G1="土地","出让国有建设用地使用权",))&amp;B9&amp;"预评估"</f>
        <v>北京市大兴区芳源里1号楼9层913房地产抵押价值预评估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北京市大兴区芳源里1号楼9层913房地产抵押价值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北京市大兴区芳源里1号楼9层913房地产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9"/>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3520</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109.12</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109.12</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109.12</v>
      </c>
      <c r="H5" s="13">
        <f t="shared" ref="H5:AT5" si="0">SUM(H13:H656)</f>
        <v>109.12</v>
      </c>
      <c r="I5" s="13">
        <f t="shared" si="0"/>
        <v>109.12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109.12</v>
      </c>
      <c r="BA5" s="15">
        <f t="shared" si="1"/>
        <v>109.12</v>
      </c>
      <c r="BB5" s="15">
        <f t="shared" si="1"/>
        <v>109.12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913</v>
      </c>
      <c r="D13" s="1621" t="s">
        <v>3392</v>
      </c>
      <c r="E13" s="13">
        <f>IF($C$3="是",ROUND($A$3*G13/$B$3,2),ROUND($A$3*(G13-AT13)/$B$3,2))</f>
        <v>0</v>
      </c>
      <c r="F13" s="29"/>
      <c r="G13" s="30">
        <f>H13+AC13+AT13</f>
        <v>109.12</v>
      </c>
      <c r="H13" s="17">
        <f>SUMIF(I$12:AB$12,"总值",I13:AB13)</f>
        <v>109.12</v>
      </c>
      <c r="I13" s="1622">
        <v>109.12</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913</v>
      </c>
      <c r="AY13" s="1345">
        <f>ROUND($AY$6*AZ13/$AZ$5,2)</f>
        <v>0</v>
      </c>
      <c r="AZ13" s="13">
        <f>BA13+BL13</f>
        <v>109.12</v>
      </c>
      <c r="BA13" s="13">
        <f>SUM(BB13:BK13)</f>
        <v>109.12</v>
      </c>
      <c r="BB13" s="13">
        <f>IF($D13="是",I13-J13,0)</f>
        <v>109.12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109.12</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109.12</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109.12</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109.12</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913</v>
      </c>
      <c r="D19" s="45">
        <f>ROUND($D$3*E19/$E$3,2)</f>
        <v>0</v>
      </c>
      <c r="E19" s="53">
        <f t="shared" ref="E19:E26" si="1">SUM(F19:G19)</f>
        <v>109.12</v>
      </c>
      <c r="F19" s="2789">
        <f>'数据-基础表'!I13</f>
        <v>109.12</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109.12</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109.12</v>
      </c>
      <c r="F27" s="1136">
        <f>IF(SUM(F19:F26)=E8,SUM(F19:F26),"地上面积有误")</f>
        <v>109.12</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109.12</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109.12</v>
      </c>
      <c r="F31" s="675">
        <f>F27+F30</f>
        <v>109.12</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30" activePane="bottomRight" state="frozen"/>
      <selection activeCell="C50" sqref="C50"/>
      <selection pane="topRight" activeCell="C50" sqref="C50"/>
      <selection pane="bottomLeft" activeCell="C50" sqref="C50"/>
      <selection pane="bottomRight" activeCell="P25" sqref="P25"/>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913</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109.12</v>
      </c>
      <c r="L6" s="731">
        <v>3500</v>
      </c>
      <c r="M6" s="67">
        <f t="shared" ref="M6:M14" si="0">ROUND(K6*L6/10000,0)</f>
        <v>38</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2.1</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130.62549999999999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109.12</v>
      </c>
      <c r="L16" s="93">
        <f>ROUND(M16*10000/SUM(K6:K14),0)</f>
        <v>3482</v>
      </c>
      <c r="M16" s="93">
        <f>SUM(M6:M14)</f>
        <v>38</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109.12</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194</v>
      </c>
      <c r="C5" s="2506">
        <f ca="1">IF(B5=D14,结果表!H102,ROUND(B5*10000/$B$1,0))</f>
        <v>17803</v>
      </c>
      <c r="D5" s="2506" t="e">
        <f ca="1">ROUND(B5*10000/$B$2,0)</f>
        <v>#DIV/0!</v>
      </c>
      <c r="E5" s="2680"/>
      <c r="F5" s="2681"/>
      <c r="G5" s="2681"/>
      <c r="H5" s="2682"/>
      <c r="I5" s="2682"/>
      <c r="J5" s="2682"/>
      <c r="K5" s="2682"/>
    </row>
    <row r="6" spans="1:11" ht="15.6">
      <c r="A6" s="2506" t="s">
        <v>656</v>
      </c>
      <c r="B6" s="2506">
        <f>SUM(G14:G23)</f>
        <v>0</v>
      </c>
      <c r="C6" s="2506">
        <f ca="1">IF(B6=G14,结果表!H108,ROUND(B6*10000/$B$1,0))</f>
        <v>17803</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109.12</v>
      </c>
      <c r="C14" s="2512"/>
      <c r="D14" s="2512">
        <f ca="1">结果表!H118</f>
        <v>194</v>
      </c>
      <c r="E14" s="2512">
        <f ca="1">结果表!I118</f>
        <v>17803</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22" sqref="K22"/>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913</v>
      </c>
      <c r="D1" s="1743"/>
      <c r="E1" s="1743"/>
      <c r="F1" s="1745" t="s">
        <v>1263</v>
      </c>
      <c r="G1" s="1557" t="s">
        <v>3391</v>
      </c>
      <c r="H1" s="1746" t="str">
        <f>IF(G1="现房","——","估价对象范围")</f>
        <v>——</v>
      </c>
      <c r="I1" s="1747"/>
    </row>
    <row r="2" spans="1:12" ht="21.75" customHeight="1" thickBot="1">
      <c r="A2" s="3600" t="str">
        <f>项目基本情况!S2</f>
        <v>北京市大兴区芳源里1号楼9层913房地产</v>
      </c>
      <c r="B2" s="3601"/>
      <c r="C2" s="3601"/>
      <c r="D2" s="3601"/>
      <c r="E2" s="3601"/>
      <c r="F2" s="3601"/>
      <c r="G2" s="3601"/>
      <c r="H2" s="3601"/>
      <c r="I2" s="3602"/>
    </row>
    <row r="3" spans="1:12" ht="13.2">
      <c r="A3" s="3604" t="s">
        <v>1264</v>
      </c>
      <c r="B3" s="3605"/>
      <c r="C3" s="3605"/>
      <c r="D3" s="3605"/>
      <c r="E3" s="3605"/>
      <c r="F3" s="3605"/>
      <c r="G3" s="3605"/>
      <c r="H3" s="3605"/>
      <c r="I3" s="3605"/>
    </row>
    <row r="4" spans="1:12" ht="14.4">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567">
        <v>25</v>
      </c>
      <c r="C5" s="3583"/>
      <c r="D5" s="3603"/>
      <c r="E5" s="131" t="s">
        <v>1269</v>
      </c>
      <c r="F5" s="1753"/>
      <c r="G5" s="1753"/>
      <c r="H5" s="1753"/>
      <c r="I5" s="1369"/>
    </row>
    <row r="6" spans="1:12" ht="13.2">
      <c r="A6" s="3580"/>
      <c r="B6" s="3567"/>
      <c r="C6" s="3584"/>
      <c r="D6" s="3603"/>
      <c r="E6" s="131" t="s">
        <v>1270</v>
      </c>
      <c r="F6" s="1753"/>
      <c r="G6" s="1753"/>
      <c r="H6" s="1753"/>
      <c r="I6" s="1369"/>
    </row>
    <row r="7" spans="1:12" ht="13.2">
      <c r="A7" s="3580"/>
      <c r="B7" s="3567"/>
      <c r="C7" s="3585"/>
      <c r="D7" s="3603"/>
      <c r="E7" s="131" t="s">
        <v>1271</v>
      </c>
      <c r="F7" s="1753"/>
      <c r="G7" s="1753"/>
      <c r="H7" s="1753"/>
      <c r="I7" s="1369"/>
    </row>
    <row r="8" spans="1:12" ht="13.2">
      <c r="A8" s="3580" t="s">
        <v>1272</v>
      </c>
      <c r="B8" s="3567">
        <v>15</v>
      </c>
      <c r="C8" s="3583"/>
      <c r="D8" s="3603"/>
      <c r="E8" s="131" t="s">
        <v>1273</v>
      </c>
      <c r="F8" s="1753"/>
      <c r="G8" s="1753"/>
      <c r="H8" s="1753"/>
      <c r="I8" s="1369"/>
    </row>
    <row r="9" spans="1:12" ht="13.2">
      <c r="A9" s="3580"/>
      <c r="B9" s="3567"/>
      <c r="C9" s="3585"/>
      <c r="D9" s="3603"/>
      <c r="E9" s="131" t="s">
        <v>1274</v>
      </c>
      <c r="F9" s="1753"/>
      <c r="G9" s="1753"/>
      <c r="H9" s="1753"/>
      <c r="I9" s="1369"/>
    </row>
    <row r="10" spans="1:12" ht="13.2">
      <c r="A10" s="3580" t="s">
        <v>1275</v>
      </c>
      <c r="B10" s="3567">
        <v>15</v>
      </c>
      <c r="C10" s="3583"/>
      <c r="D10" s="3603"/>
      <c r="E10" s="131" t="s">
        <v>1276</v>
      </c>
      <c r="F10" s="1753"/>
      <c r="G10" s="1753"/>
      <c r="H10" s="1753"/>
      <c r="I10" s="1369"/>
    </row>
    <row r="11" spans="1:12" ht="13.2">
      <c r="A11" s="3580"/>
      <c r="B11" s="3567"/>
      <c r="C11" s="3585"/>
      <c r="D11" s="3603"/>
      <c r="E11" s="131" t="s">
        <v>1277</v>
      </c>
      <c r="F11" s="1753"/>
      <c r="G11" s="1753"/>
      <c r="H11" s="1753"/>
      <c r="I11" s="1369"/>
    </row>
    <row r="12" spans="1:12" ht="13.2">
      <c r="A12" s="3580" t="s">
        <v>1278</v>
      </c>
      <c r="B12" s="3567">
        <v>15</v>
      </c>
      <c r="C12" s="3583"/>
      <c r="D12" s="3603"/>
      <c r="E12" s="131" t="s">
        <v>1279</v>
      </c>
      <c r="F12" s="1753"/>
      <c r="G12" s="1753"/>
      <c r="H12" s="1753"/>
      <c r="I12" s="1369"/>
    </row>
    <row r="13" spans="1:12" ht="13.2">
      <c r="A13" s="3580"/>
      <c r="B13" s="3567"/>
      <c r="C13" s="3585"/>
      <c r="D13" s="3603"/>
      <c r="E13" s="131" t="s">
        <v>1280</v>
      </c>
      <c r="F13" s="1753"/>
      <c r="G13" s="1753"/>
      <c r="H13" s="1753"/>
      <c r="I13" s="1369"/>
    </row>
    <row r="14" spans="1:12" ht="13.2">
      <c r="A14" s="3580" t="s">
        <v>1281</v>
      </c>
      <c r="B14" s="3567">
        <v>30</v>
      </c>
      <c r="C14" s="3583">
        <v>8</v>
      </c>
      <c r="D14" s="3603">
        <v>2</v>
      </c>
      <c r="E14" s="131" t="s">
        <v>1282</v>
      </c>
      <c r="F14" s="1753"/>
      <c r="G14" s="1753"/>
      <c r="H14" s="1753"/>
      <c r="I14" s="1369"/>
    </row>
    <row r="15" spans="1:12" ht="13.2">
      <c r="A15" s="3580"/>
      <c r="B15" s="3567"/>
      <c r="C15" s="3584"/>
      <c r="D15" s="3603"/>
      <c r="E15" s="131" t="s">
        <v>1283</v>
      </c>
      <c r="F15" s="1753"/>
      <c r="G15" s="1753"/>
      <c r="H15" s="1753"/>
      <c r="I15" s="1369"/>
    </row>
    <row r="16" spans="1:12" ht="13.2">
      <c r="A16" s="3580"/>
      <c r="B16" s="3567"/>
      <c r="C16" s="3585"/>
      <c r="D16" s="3603"/>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109.12</v>
      </c>
      <c r="M18" s="302">
        <f>IF(C1="",'数据-汇总表'!E3,SUMIF(项目类型,C1,'数据-汇总表'!E17:E26))</f>
        <v>109.12</v>
      </c>
    </row>
    <row r="19" spans="1:36" ht="14.4">
      <c r="A19" s="1757" t="s">
        <v>1290</v>
      </c>
      <c r="B19" s="1758" t="s">
        <v>1291</v>
      </c>
      <c r="C19" s="134">
        <f ca="1">SUMIF(INDIRECT("'"&amp;C4&amp;"'"&amp;"!A:A"),结果表!B19,INDIRECT("'"&amp;C4&amp;"'"&amp;"!B:B"))</f>
        <v>210.17599999999999</v>
      </c>
      <c r="D19" s="135">
        <f ca="1">SUMIF(INDIRECT("'"&amp;D4&amp;"'"&amp;"!A:A"),结果表!B19,INDIRECT("'"&amp;D4&amp;"'"&amp;"!B:B"))</f>
        <v>130.62549999999999</v>
      </c>
      <c r="E19" s="1757" t="s">
        <v>1292</v>
      </c>
      <c r="F19" s="1758" t="s">
        <v>1291</v>
      </c>
      <c r="G19" s="136">
        <f ca="1">ROUND(C19*$C$18+D19*$D$18,0)</f>
        <v>194</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19261</v>
      </c>
      <c r="D20" s="138">
        <f ca="1">SUMIF(INDIRECT("'"&amp;D4&amp;"'"&amp;"!A:A"),结果表!B20,INDIRECT("'"&amp;D4&amp;"'"&amp;"!B:B"))</f>
        <v>11971</v>
      </c>
      <c r="E20" s="1760"/>
      <c r="F20" s="1022" t="s">
        <v>1295</v>
      </c>
      <c r="G20" s="139">
        <f ca="1">ROUND(C20*$C$18+D20*$D$18,0)</f>
        <v>17803</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0.60899671197430827</v>
      </c>
      <c r="E22" s="129"/>
      <c r="F22" s="129"/>
      <c r="G22" s="129"/>
      <c r="H22" s="129"/>
      <c r="I22" s="129"/>
    </row>
    <row r="23" spans="1:36" ht="13.8" thickBot="1">
      <c r="A23" s="1743"/>
      <c r="B23" s="1743"/>
      <c r="C23" s="1743"/>
      <c r="D23" s="1743"/>
      <c r="E23" s="129"/>
      <c r="F23" s="129"/>
      <c r="G23" s="129"/>
      <c r="H23" s="129"/>
      <c r="I23" s="129"/>
    </row>
    <row r="24" spans="1:36" ht="14.4">
      <c r="A24" s="3574" t="s">
        <v>1299</v>
      </c>
      <c r="B24" s="1758" t="s">
        <v>1291</v>
      </c>
      <c r="C24" s="136">
        <f>IF(B30=0,0,D30)</f>
        <v>0</v>
      </c>
      <c r="D24" s="1765"/>
      <c r="E24" s="129"/>
      <c r="F24" s="129"/>
      <c r="G24" s="129"/>
      <c r="H24" s="129"/>
      <c r="I24" s="129"/>
    </row>
    <row r="25" spans="1:36" ht="14.4">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17803</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594" t="s">
        <v>1312</v>
      </c>
      <c r="B36" s="1783" t="s">
        <v>1313</v>
      </c>
      <c r="C36" s="145"/>
      <c r="D36" s="1784"/>
      <c r="E36" s="1785"/>
      <c r="F36" s="1786"/>
      <c r="G36" s="129"/>
      <c r="H36" s="129"/>
      <c r="I36" s="129"/>
    </row>
    <row r="37" spans="1:15" ht="15" thickBot="1">
      <c r="A37" s="3595"/>
      <c r="B37" s="1670" t="s">
        <v>1314</v>
      </c>
      <c r="C37" s="147"/>
      <c r="D37" s="1135"/>
      <c r="E37" s="1135"/>
      <c r="F37" s="1786"/>
      <c r="G37" s="129"/>
      <c r="H37" s="129"/>
      <c r="I37" s="129"/>
    </row>
    <row r="38" spans="1:15" ht="15" thickBot="1">
      <c r="A38" s="3596"/>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194</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6.4">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194</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194</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399999999999999"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10</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10</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10</v>
      </c>
      <c r="E54" s="327" t="s">
        <v>1359</v>
      </c>
      <c r="F54" s="2548">
        <f>'数据-取费表'!B41</f>
        <v>5.5000000000000007E-2</v>
      </c>
      <c r="G54" s="2549"/>
      <c r="H54" s="2550"/>
      <c r="I54" s="1803"/>
      <c r="J54" s="2517">
        <v>3</v>
      </c>
      <c r="K54" s="3631" t="s">
        <v>1360</v>
      </c>
      <c r="L54" s="3631"/>
      <c r="M54" s="2519">
        <f t="shared" ca="1" si="0"/>
        <v>110</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2</v>
      </c>
      <c r="N55" s="2035" t="str">
        <f>E59</f>
        <v>差额计税</v>
      </c>
      <c r="O55" s="2523">
        <f>F59</f>
        <v>0.01</v>
      </c>
    </row>
    <row r="56" spans="1:35" ht="25.2">
      <c r="A56" s="3581" t="s">
        <v>1363</v>
      </c>
      <c r="B56" s="3582"/>
      <c r="C56" s="3582"/>
      <c r="D56" s="2319">
        <f ca="1">IF(H56="个人住宅",D57,D58)</f>
        <v>110</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3.2">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112</v>
      </c>
      <c r="O57" s="2527"/>
      <c r="P57" s="2684">
        <f ca="1">N57/M49</f>
        <v>0.57731958762886593</v>
      </c>
    </row>
    <row r="58" spans="1:35" ht="25.2">
      <c r="A58" s="2330" t="s">
        <v>1352</v>
      </c>
      <c r="B58" s="3592" t="s">
        <v>1369</v>
      </c>
      <c r="C58" s="3566"/>
      <c r="D58" s="2319">
        <f ca="1">IF(H58="转让取得",C81,C97)</f>
        <v>110</v>
      </c>
      <c r="E58" s="2329" t="s">
        <v>1364</v>
      </c>
      <c r="F58" s="302" t="s">
        <v>28</v>
      </c>
      <c r="G58" s="2549"/>
      <c r="H58" s="2552"/>
      <c r="I58" s="1804"/>
      <c r="J58" s="3631"/>
      <c r="K58" s="3631"/>
      <c r="L58" s="2524" t="s">
        <v>1370</v>
      </c>
      <c r="M58" s="2528"/>
      <c r="N58" s="2529" t="str">
        <f ca="1">NUMBERSTRING(INT(N57*10000),2)&amp;"元整"</f>
        <v>壹佰壹拾贰万元整</v>
      </c>
      <c r="O58" s="2530"/>
    </row>
    <row r="59" spans="1:35" ht="24.6" thickBot="1">
      <c r="A59" s="3634" t="s">
        <v>1371</v>
      </c>
      <c r="B59" s="3635"/>
      <c r="C59" s="3635"/>
      <c r="D59" s="2554">
        <f ca="1">IF(H59="非个人房产","——",IF(H59="个人住宅（满五唯一有凭证）",0,IF(H59="个人其他（无凭证）",ROUND(D45*F59,0),ROUND(C67*F59,0))))</f>
        <v>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82</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捌拾贰万元整</v>
      </c>
      <c r="O60" s="2530"/>
    </row>
    <row r="61" spans="1:35" ht="13.8" thickBot="1">
      <c r="A61" s="3579" t="s">
        <v>1373</v>
      </c>
      <c r="B61" s="3579"/>
      <c r="C61" s="3579"/>
      <c r="D61" s="3579"/>
      <c r="E61" s="3579"/>
      <c r="F61" s="1804"/>
      <c r="G61" s="1804"/>
      <c r="H61" s="1806"/>
      <c r="I61" s="129"/>
      <c r="J61" s="2517">
        <f>J59+1</f>
        <v>7</v>
      </c>
      <c r="K61" s="3631" t="s">
        <v>1374</v>
      </c>
      <c r="L61" s="3631"/>
      <c r="M61" s="2534"/>
      <c r="N61" s="2535">
        <f ca="1">ROUND(N59*10000/'数据-汇总表'!E3,0)</f>
        <v>7515</v>
      </c>
      <c r="O61" s="2536"/>
    </row>
    <row r="62" spans="1:35" ht="13.2">
      <c r="A62" s="3597" t="s">
        <v>1375</v>
      </c>
      <c r="B62" s="3598"/>
      <c r="C62" s="2016"/>
      <c r="D62" s="2016" t="s">
        <v>1376</v>
      </c>
      <c r="E62" s="166" t="s">
        <v>1377</v>
      </c>
      <c r="F62" s="1804"/>
      <c r="G62" s="1804"/>
      <c r="H62" s="1806"/>
      <c r="I62" s="129"/>
    </row>
    <row r="63" spans="1:35" ht="13.2">
      <c r="A63" s="173" t="s">
        <v>330</v>
      </c>
      <c r="B63" s="167" t="s">
        <v>1378</v>
      </c>
      <c r="C63" s="2558">
        <f ca="1">ROUND((C64+C65)/(1+'数据-取费表'!C42),0)</f>
        <v>185</v>
      </c>
      <c r="D63" s="167"/>
      <c r="E63" s="168"/>
      <c r="F63" s="1804"/>
      <c r="G63" s="1804"/>
      <c r="H63" s="1806"/>
      <c r="I63" s="129"/>
      <c r="J63" s="3656" t="s">
        <v>1379</v>
      </c>
      <c r="K63" s="1328" t="s">
        <v>1380</v>
      </c>
      <c r="L63" s="1328">
        <f ca="1">IF(M49&gt;10000,M49*0.5%,IF(AND(M49&gt;1000,M49&lt;=10000),M49*1%,IF(AND(M49&gt;100,M49&lt;=1000),M49*3%,IF(AND(M49&gt;10,M49&lt;=100),M49*5%,M49*8%))))</f>
        <v>5.8199999999999994</v>
      </c>
      <c r="M63" s="302">
        <f ca="1">ROUND(L63,1)</f>
        <v>5.8</v>
      </c>
      <c r="N63" s="2537"/>
      <c r="Z63" s="1748"/>
      <c r="AI63" s="1749"/>
    </row>
    <row r="64" spans="1:35" ht="14.25" customHeight="1">
      <c r="A64" s="169" t="s">
        <v>325</v>
      </c>
      <c r="B64" s="170" t="s">
        <v>1381</v>
      </c>
      <c r="C64" s="2559">
        <f ca="1">D45</f>
        <v>194</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1.7460000000000002</v>
      </c>
      <c r="M64" s="302">
        <f t="shared" ref="M64:M65" ca="1" si="1">ROUND(L64,1)</f>
        <v>1.7</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1.94</v>
      </c>
      <c r="M65" s="302">
        <f t="shared" ca="1" si="1"/>
        <v>1.9</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0.97</v>
      </c>
      <c r="M66" s="302">
        <f ca="1">IF(L66&gt;0.5,0.5,ROUND(L66,0))</f>
        <v>0.5</v>
      </c>
      <c r="N66" s="2538" t="s">
        <v>1388</v>
      </c>
      <c r="Z66" s="1748"/>
      <c r="AI66" s="1749"/>
    </row>
    <row r="67" spans="1:35" ht="14.25" customHeight="1">
      <c r="A67" s="173" t="s">
        <v>328</v>
      </c>
      <c r="B67" s="174" t="s">
        <v>1389</v>
      </c>
      <c r="C67" s="2562">
        <f ca="1">C63-C66</f>
        <v>185</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0.73499999999999999</v>
      </c>
      <c r="M67" s="302">
        <f ca="1">ROUND(L67*0.9,1)</f>
        <v>0.7</v>
      </c>
      <c r="N67" s="2537"/>
      <c r="Z67" s="1748"/>
      <c r="AI67" s="1749"/>
    </row>
    <row r="68" spans="1:35" ht="14.25" customHeight="1" thickBot="1">
      <c r="A68" s="176" t="s">
        <v>329</v>
      </c>
      <c r="B68" s="177" t="s">
        <v>1391</v>
      </c>
      <c r="C68" s="2563">
        <f ca="1">IF(C67&lt;=0,0,ROUND(C67*D68,0))</f>
        <v>10</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9.7000000000000011</v>
      </c>
      <c r="M68" s="302">
        <f ca="1">ROUND(L68,1)</f>
        <v>9.6999999999999993</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20</v>
      </c>
      <c r="N69" s="2539">
        <f ca="1">M69/M49</f>
        <v>0.10309278350515463</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185</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184</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184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110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185</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184</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184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110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194</v>
      </c>
      <c r="I101" s="129"/>
    </row>
    <row r="102" spans="1:35" ht="18.75" customHeight="1">
      <c r="A102" s="3612" t="s">
        <v>1433</v>
      </c>
      <c r="B102" s="2578" t="s">
        <v>1432</v>
      </c>
      <c r="C102" s="2579">
        <f ca="1">IF(D32="楼面单价",ROUND(C19,0),C19)</f>
        <v>210</v>
      </c>
      <c r="D102" s="2580">
        <f ca="1">IF(D32="楼面单价",ROUND(D19,0),D19)</f>
        <v>131</v>
      </c>
      <c r="E102" s="3653"/>
      <c r="F102" s="3610"/>
      <c r="G102" s="1823" t="s">
        <v>1434</v>
      </c>
      <c r="H102" s="2549">
        <f ca="1">I118</f>
        <v>17803</v>
      </c>
      <c r="I102" s="129"/>
    </row>
    <row r="103" spans="1:35" ht="42.75" customHeight="1">
      <c r="A103" s="3612"/>
      <c r="B103" s="2578" t="s">
        <v>1434</v>
      </c>
      <c r="C103" s="2581">
        <f ca="1">C20</f>
        <v>19261</v>
      </c>
      <c r="D103" s="2582">
        <f ca="1">D20</f>
        <v>11971</v>
      </c>
      <c r="E103" s="3647" t="s">
        <v>1435</v>
      </c>
      <c r="F103" s="3648"/>
      <c r="G103" s="1824" t="s">
        <v>1436</v>
      </c>
      <c r="H103" s="2589">
        <f>IF(D36="正常操作",H104+H105+H106,H105+H106)</f>
        <v>0</v>
      </c>
      <c r="I103" s="129"/>
    </row>
    <row r="104" spans="1:35" ht="18.75" customHeight="1">
      <c r="A104" s="3612" t="s">
        <v>1437</v>
      </c>
      <c r="B104" s="2583" t="s">
        <v>1432</v>
      </c>
      <c r="C104" s="2584">
        <f ca="1">H118</f>
        <v>194</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17803</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194</v>
      </c>
      <c r="I107" s="129"/>
    </row>
    <row r="108" spans="1:35" ht="18.75" customHeight="1">
      <c r="A108" s="129"/>
      <c r="B108" s="129"/>
      <c r="C108" s="129"/>
      <c r="D108" s="129"/>
      <c r="E108" s="3609"/>
      <c r="F108" s="3610"/>
      <c r="G108" s="1823" t="s">
        <v>1434</v>
      </c>
      <c r="H108" s="2549">
        <f ca="1">IF(H107=H101,H102,ROUND(H107*10000/'数据-汇总表'!E3,0))</f>
        <v>17803</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北京市大兴区芳源里1号楼9层913房地产</v>
      </c>
      <c r="B118" s="2324">
        <f>M18</f>
        <v>109.12</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194</v>
      </c>
      <c r="I118" s="2324">
        <f ca="1">ROUND(IF(D32="楼面单价",C32,H118*10000/B118),0)</f>
        <v>17803</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壹佰玖拾肆万元整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194</v>
      </c>
      <c r="E122" s="3645"/>
      <c r="F122" s="3645"/>
      <c r="G122" s="3645"/>
      <c r="H122" s="3645"/>
      <c r="I122" s="3646"/>
      <c r="AA122" s="723"/>
    </row>
    <row r="123" spans="1:27" ht="18.75" customHeight="1">
      <c r="A123" s="3580" t="s">
        <v>1452</v>
      </c>
      <c r="B123" s="3580"/>
      <c r="C123" s="3580"/>
      <c r="D123" s="3620" t="str">
        <f ca="1">NUMBERSTRING(INT(D122*10000),2)&amp;"元整"</f>
        <v>壹佰玖拾肆万元整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workbookViewId="0">
      <selection activeCell="I11" sqref="I11"/>
    </sheetView>
  </sheetViews>
  <sheetFormatPr defaultRowHeight="14.4"/>
  <sheetData>
    <row r="10" spans="9:9">
      <c r="I10" s="3469" t="s">
        <v>3518</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北京市大兴区芳源里1号楼9层913房地产抵押价值预评估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B18" zoomScale="85" zoomScaleNormal="70" zoomScaleSheetLayoutView="85"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913</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210.17599999999999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19261</v>
      </c>
      <c r="C3" s="354" t="s">
        <v>1665</v>
      </c>
      <c r="D3" s="353">
        <f>IF(D1="",'数据-汇总表'!E3,SUMIF('数据-汇总表'!$C19:$C33,D1,'数据-汇总表'!$E19:$E33))</f>
        <v>109.12</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3521</v>
      </c>
      <c r="D28" s="413">
        <v>100</v>
      </c>
      <c r="E28" s="1952" t="s">
        <v>3517</v>
      </c>
      <c r="F28" s="413">
        <f>SUMIF(91:91,E28,92:92)-SUMIF(91:91,C28,92:92)+100</f>
        <v>98.5</v>
      </c>
      <c r="G28" s="1960" t="s">
        <v>3512</v>
      </c>
      <c r="H28" s="413">
        <f>SUMIF(91:91,G28,92:92)-SUMIF(91:91,C28,92:92)+100</f>
        <v>97</v>
      </c>
      <c r="I28" s="1952" t="s">
        <v>3512</v>
      </c>
      <c r="J28" s="413">
        <f>SUMIF(91:91,I28,92:92)-SUMIF(91:91,C28,92:92)+100</f>
        <v>97</v>
      </c>
      <c r="K28" s="561">
        <v>0.5</v>
      </c>
      <c r="L28" s="2711"/>
      <c r="M28" s="2712"/>
      <c r="N28" s="2712"/>
      <c r="O28" s="2712"/>
      <c r="P28" s="3667"/>
      <c r="Q28" s="3454" t="str">
        <f t="shared" si="11"/>
        <v>朝向</v>
      </c>
      <c r="R28" s="699" t="s">
        <v>14</v>
      </c>
      <c r="S28" s="700">
        <f>F28</f>
        <v>98.5</v>
      </c>
      <c r="T28" s="699" t="s">
        <v>14</v>
      </c>
      <c r="U28" s="700">
        <f>H28</f>
        <v>97</v>
      </c>
      <c r="V28" s="699" t="s">
        <v>14</v>
      </c>
      <c r="W28" s="700">
        <f>J28</f>
        <v>97</v>
      </c>
      <c r="X28" s="701"/>
      <c r="Y28" s="3669"/>
      <c r="Z28" s="3453" t="str">
        <f>Q28</f>
        <v>朝向</v>
      </c>
      <c r="AA28" s="3457">
        <f>D28/F28</f>
        <v>1.015228426395939</v>
      </c>
      <c r="AB28" s="3457">
        <f>D28/H28</f>
        <v>1.0309278350515463</v>
      </c>
      <c r="AC28" s="1957">
        <f>D28/J28</f>
        <v>1.0309278350515463</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109.12</v>
      </c>
      <c r="D34" s="127">
        <v>100</v>
      </c>
      <c r="E34" s="381">
        <v>46.81</v>
      </c>
      <c r="F34" s="376">
        <f>LOOKUP(E34,104:104,105:105)-LOOKUP(C34,104:104,105:105)+100</f>
        <v>102</v>
      </c>
      <c r="G34" s="380">
        <v>43.3</v>
      </c>
      <c r="H34" s="127">
        <f>LOOKUP(G34,104:104,105:105)-LOOKUP(C34,104:104,105:105)+100</f>
        <v>102</v>
      </c>
      <c r="I34" s="380">
        <v>44.43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3519</v>
      </c>
      <c r="D41" s="386">
        <v>100</v>
      </c>
      <c r="E41" s="565" t="s">
        <v>3514</v>
      </c>
      <c r="F41" s="412">
        <f>SUMIF(119:119,E41,120:120)-SUMIF(119:119,C41,120:120)+100</f>
        <v>108</v>
      </c>
      <c r="G41" s="565" t="s">
        <v>3514</v>
      </c>
      <c r="H41" s="386">
        <f>SUMIF(119:119,G41,120:120)-SUMIF(119:119,C41,120:120)+100</f>
        <v>108</v>
      </c>
      <c r="I41" s="565" t="str">
        <f>G41</f>
        <v>4米2</v>
      </c>
      <c r="J41" s="386">
        <f>SUMIF(119:119,I41,120:120)-SUMIF(119:119,C41,120:120)+100</f>
        <v>108</v>
      </c>
      <c r="K41" s="561">
        <v>8</v>
      </c>
      <c r="L41" s="2716"/>
      <c r="M41" s="2710"/>
      <c r="N41" s="2710"/>
      <c r="O41" s="2710"/>
      <c r="P41" s="3671"/>
      <c r="Q41" s="3456" t="str">
        <f t="shared" si="11"/>
        <v>层高</v>
      </c>
      <c r="R41" s="703" t="s">
        <v>14</v>
      </c>
      <c r="S41" s="704">
        <f t="shared" si="12"/>
        <v>108</v>
      </c>
      <c r="T41" s="703" t="s">
        <v>14</v>
      </c>
      <c r="U41" s="704">
        <f t="shared" si="13"/>
        <v>108</v>
      </c>
      <c r="V41" s="703" t="s">
        <v>14</v>
      </c>
      <c r="W41" s="704">
        <f t="shared" si="14"/>
        <v>108</v>
      </c>
      <c r="X41" s="3458"/>
      <c r="Y41" s="3673"/>
      <c r="Z41" s="3459" t="str">
        <f t="shared" si="15"/>
        <v>层高</v>
      </c>
      <c r="AA41" s="3457">
        <f t="shared" si="3"/>
        <v>0.92592592592592593</v>
      </c>
      <c r="AB41" s="3457">
        <f t="shared" si="4"/>
        <v>0.92592592592592593</v>
      </c>
      <c r="AC41" s="1957">
        <f t="shared" si="5"/>
        <v>0.92592592592592593</v>
      </c>
    </row>
    <row r="42" spans="1:29" s="422" customFormat="1" ht="15">
      <c r="A42" s="419"/>
      <c r="B42" s="3455" t="s">
        <v>1820</v>
      </c>
      <c r="C42" s="385">
        <f>C34</f>
        <v>109.12</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3465</v>
      </c>
      <c r="D43" s="386">
        <v>100</v>
      </c>
      <c r="E43" s="411" t="s">
        <v>3459</v>
      </c>
      <c r="F43" s="412">
        <f>SUMIF(123:123,E43,124:124)-SUMIF(123:123,C43,124:124)+100</f>
        <v>109</v>
      </c>
      <c r="G43" s="411" t="str">
        <f>E43</f>
        <v>精装修</v>
      </c>
      <c r="H43" s="386">
        <f>SUMIF(123:123,G43,124:124)-SUMIF(123:123,C43,124:124)+100</f>
        <v>109</v>
      </c>
      <c r="I43" s="411" t="s">
        <v>3459</v>
      </c>
      <c r="J43" s="386">
        <f>SUMIF(123:123,I43,124:124)-SUMIF(123:123,C43,124:124)+100</f>
        <v>109</v>
      </c>
      <c r="K43" s="561">
        <v>3</v>
      </c>
      <c r="L43" s="2716"/>
      <c r="M43" s="2710"/>
      <c r="N43" s="2710"/>
      <c r="O43" s="2710"/>
      <c r="P43" s="3671"/>
      <c r="Q43" s="3456" t="str">
        <f t="shared" si="11"/>
        <v>内部装修</v>
      </c>
      <c r="R43" s="703" t="s">
        <v>14</v>
      </c>
      <c r="S43" s="704">
        <f t="shared" si="12"/>
        <v>109</v>
      </c>
      <c r="T43" s="703" t="s">
        <v>14</v>
      </c>
      <c r="U43" s="704">
        <f t="shared" si="13"/>
        <v>109</v>
      </c>
      <c r="V43" s="703" t="s">
        <v>14</v>
      </c>
      <c r="W43" s="704">
        <f t="shared" si="14"/>
        <v>109</v>
      </c>
      <c r="X43" s="3458"/>
      <c r="Y43" s="3673"/>
      <c r="Z43" s="3459" t="str">
        <f t="shared" si="15"/>
        <v>内部装修</v>
      </c>
      <c r="AA43" s="3457">
        <f t="shared" si="3"/>
        <v>0.91743119266055051</v>
      </c>
      <c r="AB43" s="3457">
        <f t="shared" si="4"/>
        <v>0.91743119266055051</v>
      </c>
      <c r="AC43" s="1957">
        <f t="shared" si="5"/>
        <v>0.91743119266055051</v>
      </c>
    </row>
    <row r="44" spans="1:29" ht="29.4" thickBot="1">
      <c r="A44" s="423"/>
      <c r="B44" s="375" t="s">
        <v>1707</v>
      </c>
      <c r="C44" s="411" t="s">
        <v>3415</v>
      </c>
      <c r="D44" s="386">
        <v>100</v>
      </c>
      <c r="E44" s="1902" t="s">
        <v>3434</v>
      </c>
      <c r="F44" s="412">
        <f>SUMIF(125:125,E44,126:126)-SUMIF(125:125,C44,126:126)+100</f>
        <v>103</v>
      </c>
      <c r="G44" s="1902" t="s">
        <v>3434</v>
      </c>
      <c r="H44" s="386">
        <f>SUMIF(125:125,G44,126:126)-SUMIF(125:125,C44,126:126)+100</f>
        <v>103</v>
      </c>
      <c r="I44" s="1902" t="s">
        <v>3434</v>
      </c>
      <c r="J44" s="386">
        <f>SUMIF(125:125,I44,126:126)-SUMIF(125:125,C44,126:126)+100</f>
        <v>103</v>
      </c>
      <c r="K44" s="561">
        <v>3</v>
      </c>
      <c r="L44" s="2716"/>
      <c r="M44" s="2710"/>
      <c r="N44" s="2710"/>
      <c r="O44" s="2710"/>
      <c r="P44" s="3671"/>
      <c r="Q44" s="3456" t="str">
        <f t="shared" si="11"/>
        <v>内部装修维护情况</v>
      </c>
      <c r="R44" s="703" t="s">
        <v>14</v>
      </c>
      <c r="S44" s="704">
        <f t="shared" si="12"/>
        <v>103</v>
      </c>
      <c r="T44" s="703" t="s">
        <v>14</v>
      </c>
      <c r="U44" s="704">
        <f t="shared" si="13"/>
        <v>103</v>
      </c>
      <c r="V44" s="703" t="s">
        <v>14</v>
      </c>
      <c r="W44" s="704">
        <f t="shared" si="14"/>
        <v>103</v>
      </c>
      <c r="X44" s="3458"/>
      <c r="Y44" s="3673"/>
      <c r="Z44" s="3459" t="str">
        <f t="shared" si="15"/>
        <v>内部装修维护情况</v>
      </c>
      <c r="AA44" s="3457">
        <f t="shared" si="3"/>
        <v>0.970873786407767</v>
      </c>
      <c r="AB44" s="3457">
        <f t="shared" si="4"/>
        <v>0.970873786407767</v>
      </c>
      <c r="AC44" s="1957">
        <f t="shared" si="5"/>
        <v>0.970873786407767</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 thickBot="1">
      <c r="A49" s="437" t="s">
        <v>1709</v>
      </c>
      <c r="B49" s="438"/>
      <c r="C49" s="1156">
        <f>R50</f>
        <v>19261</v>
      </c>
      <c r="D49" s="2312" t="s">
        <v>2138</v>
      </c>
      <c r="E49" s="1157">
        <f>R49</f>
        <v>18418</v>
      </c>
      <c r="F49" s="2313"/>
      <c r="G49" s="1156">
        <f>T49</f>
        <v>20379</v>
      </c>
      <c r="H49" s="2313"/>
      <c r="I49" s="1157">
        <f>V49</f>
        <v>18985</v>
      </c>
      <c r="J49" s="2313"/>
      <c r="K49" s="2315">
        <f>F49+H49+J49</f>
        <v>0</v>
      </c>
      <c r="L49" s="2718"/>
      <c r="M49" s="2710"/>
      <c r="N49" s="2710"/>
      <c r="O49" s="2710"/>
      <c r="P49" s="3660" t="str">
        <f>A49</f>
        <v>比较价值（元/平方米）</v>
      </c>
      <c r="Q49" s="3661"/>
      <c r="R49" s="3662">
        <f>IF(F1="售价",ROUND(PRODUCT(R48,AA7:AA47),0),ROUND(PRODUCT(R48,AA7:AA47),1))</f>
        <v>18418</v>
      </c>
      <c r="S49" s="3662"/>
      <c r="T49" s="3662">
        <f>IF(F1="售价",ROUND(PRODUCT(T48,AB7:AB47),0),ROUND(PRODUCT(T48,AB7:AB47),1))</f>
        <v>20379</v>
      </c>
      <c r="U49" s="3662"/>
      <c r="V49" s="3662">
        <f>IF(F1="售价",ROUND(PRODUCT(V48,AC7:AC47),0),ROUND(PRODUCT(V48,AC7:AC47),1))</f>
        <v>18985</v>
      </c>
      <c r="W49" s="3662"/>
      <c r="X49" s="397"/>
      <c r="Y49" s="397"/>
      <c r="Z49" s="397"/>
      <c r="AA49" s="397"/>
      <c r="AB49" s="397"/>
      <c r="AC49" s="578"/>
    </row>
    <row r="50" spans="1:29" ht="15" thickBot="1">
      <c r="A50" s="441" t="s">
        <v>1710</v>
      </c>
      <c r="B50" s="442"/>
      <c r="C50" s="1159">
        <f>R50</f>
        <v>19261</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19261</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0.25268758822890658</v>
      </c>
      <c r="F53" s="449" t="str">
        <f>IF(OR(E53&gt;=0.3,E53&lt;=-0.3),"超过30%","")</f>
        <v/>
      </c>
      <c r="G53" s="448">
        <f>IF(G48&lt;G49,G49/G48-1,G48/G49-1)</f>
        <v>0.22110996614161627</v>
      </c>
      <c r="H53" s="449" t="str">
        <f>IF(OR(G53&gt;=0.3,G53&lt;=-0.3),"超过30%","")</f>
        <v/>
      </c>
      <c r="I53" s="448">
        <f>IF(I48&lt;I49,I49/I48-1,I48/I49-1)</f>
        <v>0.22112193837239924</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0.10647192963405372</v>
      </c>
      <c r="F54" s="449" t="str">
        <f>IF(OR(E54&gt;=0.2,E54&lt;=-0.2),"超过20%","")</f>
        <v/>
      </c>
      <c r="G54" s="448">
        <f>IF(G49&lt;I49,I49/G49-1,G49/I49-1)</f>
        <v>7.3426389254674707E-2</v>
      </c>
      <c r="H54" s="449" t="str">
        <f>IF(OR(G54&gt;=0.2,G54&lt;=-0.2),"超过20%","")</f>
        <v/>
      </c>
      <c r="I54" s="448">
        <f>IF(I49&lt;E49,E49/I49-1,I49/E49-1)</f>
        <v>3.0785101531110914E-2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3508</v>
      </c>
      <c r="I91" s="3473" t="s">
        <v>3509</v>
      </c>
      <c r="J91" s="3473" t="s">
        <v>3510</v>
      </c>
      <c r="K91" s="3473" t="s">
        <v>3511</v>
      </c>
      <c r="L91" s="3474" t="s">
        <v>3513</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3516</v>
      </c>
      <c r="D119" s="532" t="s">
        <v>3502</v>
      </c>
      <c r="E119" s="532" t="s">
        <v>3515</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K33" sqref="K3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913</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130.62549999999999</v>
      </c>
      <c r="C2" s="1383" t="s">
        <v>879</v>
      </c>
      <c r="D2" s="1467">
        <f ca="1">C40+J29+L46</f>
        <v>1306255</v>
      </c>
      <c r="E2" s="1384" t="s">
        <v>880</v>
      </c>
      <c r="F2" s="1385"/>
      <c r="G2" s="2700"/>
      <c r="H2" s="2689"/>
      <c r="I2" s="2689"/>
      <c r="J2" s="2689"/>
      <c r="K2" s="2690"/>
      <c r="L2" s="2689"/>
      <c r="M2" s="2689"/>
    </row>
    <row r="3" spans="1:37" ht="18" customHeight="1" thickBot="1">
      <c r="A3" s="1386" t="s">
        <v>881</v>
      </c>
      <c r="B3" s="1387">
        <f ca="1">IF(ISERROR(D2/F43),0,ROUND(D2/F43,0))</f>
        <v>11971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75370</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75276</v>
      </c>
      <c r="D6" s="155" t="s">
        <v>2106</v>
      </c>
      <c r="E6" s="302" t="s">
        <v>696</v>
      </c>
      <c r="F6" s="303">
        <f ca="1">INDIRECT("'数据-取费表'!u"&amp;$G$1)</f>
        <v>2.1</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109.12</v>
      </c>
      <c r="G7" s="1380"/>
      <c r="H7" s="304"/>
      <c r="I7" s="3712"/>
      <c r="J7" s="306"/>
      <c r="K7" s="307"/>
      <c r="L7" s="302" t="s">
        <v>697</v>
      </c>
      <c r="M7" s="303">
        <f ca="1">F7</f>
        <v>109.12</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94</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354455</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381920</v>
      </c>
      <c r="D14" s="1341" t="s">
        <v>708</v>
      </c>
      <c r="E14" s="1338"/>
      <c r="F14" s="319"/>
      <c r="G14" s="1380"/>
      <c r="H14" s="978" t="s">
        <v>398</v>
      </c>
      <c r="I14" s="302" t="s">
        <v>709</v>
      </c>
      <c r="J14" s="21">
        <f ca="1">C29</f>
        <v>529038</v>
      </c>
      <c r="K14" s="12"/>
      <c r="L14" s="805"/>
      <c r="M14" s="806"/>
    </row>
    <row r="15" spans="1:37" s="1393" customFormat="1" ht="18" customHeight="1" thickBot="1">
      <c r="A15" s="978" t="s">
        <v>399</v>
      </c>
      <c r="B15" s="302" t="s">
        <v>710</v>
      </c>
      <c r="C15" s="21">
        <f ca="1">ROUND(C14*F15,0)</f>
        <v>11458</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5290</v>
      </c>
      <c r="K16" s="1083" t="s">
        <v>715</v>
      </c>
      <c r="L16" s="1084"/>
      <c r="M16" s="1068"/>
    </row>
    <row r="17" spans="1:37" s="1393" customFormat="1" ht="18" customHeight="1">
      <c r="A17" s="978" t="s">
        <v>681</v>
      </c>
      <c r="B17" s="302" t="s">
        <v>716</v>
      </c>
      <c r="C17" s="21">
        <f ca="1">ROUND(F17*(F43+INDIRECT("'数据-取费表'!S"&amp;$G$1)),0)</f>
        <v>21824</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7638</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422840</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8457</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5290</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14880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-5290</v>
      </c>
      <c r="K25" s="1091" t="s">
        <v>753</v>
      </c>
      <c r="L25" s="1092"/>
      <c r="M25" s="1093"/>
    </row>
    <row r="26" spans="1:37" ht="18" customHeight="1">
      <c r="A26" s="978" t="s">
        <v>397</v>
      </c>
      <c r="B26" s="302" t="s">
        <v>754</v>
      </c>
      <c r="C26" s="21">
        <f ca="1">ROUND((C19+C20)*F26,0)</f>
        <v>43130</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529038</v>
      </c>
      <c r="D29" s="1088"/>
      <c r="E29" s="1086"/>
      <c r="F29" s="1089"/>
      <c r="G29" s="1392"/>
      <c r="H29" s="334" t="s">
        <v>396</v>
      </c>
      <c r="I29" s="335" t="s">
        <v>768</v>
      </c>
      <c r="J29" s="336">
        <f ca="1">ROUND(J26/(1+F40)^F41,0)</f>
        <v>0</v>
      </c>
      <c r="K29" s="337" t="s">
        <v>769</v>
      </c>
      <c r="L29" s="338"/>
      <c r="M29" s="339">
        <f ca="1">INDIRECT("'数据-取费表'!k"&amp;$G$1)</f>
        <v>109.12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11416</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5018</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5290</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354</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754</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63954</v>
      </c>
      <c r="D39" s="1091" t="s">
        <v>773</v>
      </c>
      <c r="E39" s="1092"/>
      <c r="F39" s="1093"/>
      <c r="G39" s="1380"/>
      <c r="H39" s="2694"/>
      <c r="I39" s="1394"/>
      <c r="J39" s="1395"/>
      <c r="K39" s="2698"/>
      <c r="L39" s="2694"/>
      <c r="M39" s="2694"/>
    </row>
    <row r="40" spans="1:18" ht="18" customHeight="1">
      <c r="A40" s="299" t="s">
        <v>395</v>
      </c>
      <c r="B40" s="300" t="s">
        <v>774</v>
      </c>
      <c r="C40" s="301">
        <f ca="1">ROUND(C39*(1-((1+F42)/(1+F40))^F41)/(F40-F42),0)</f>
        <v>1279874</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11729</v>
      </c>
      <c r="D43" s="337" t="s">
        <v>777</v>
      </c>
      <c r="E43" s="338" t="s">
        <v>778</v>
      </c>
      <c r="F43" s="339">
        <f ca="1">INDIRECT("'数据-取费表'!k"&amp;$G$1)</f>
        <v>109.12</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-136.50479999999999</v>
      </c>
      <c r="D45" s="3426" t="s">
        <v>3357</v>
      </c>
      <c r="E45" s="1396"/>
      <c r="F45" s="1396"/>
      <c r="O45" s="1399" t="s">
        <v>808</v>
      </c>
      <c r="P45" s="1457"/>
      <c r="Q45" s="1457"/>
      <c r="R45" s="1457"/>
    </row>
    <row r="46" spans="1:18" s="1380" customFormat="1" ht="13.8" thickBot="1">
      <c r="A46" s="1400" t="s">
        <v>809</v>
      </c>
      <c r="C46" s="1401">
        <f ca="1">ROUND(C45,0)</f>
        <v>-137</v>
      </c>
      <c r="D46" s="1402" t="str">
        <f>C2</f>
        <v>万元</v>
      </c>
      <c r="I46" s="1403" t="s">
        <v>810</v>
      </c>
      <c r="J46" s="1404"/>
      <c r="K46" s="1405"/>
      <c r="L46" s="1406">
        <f ca="1">IF(M47="住宅",0,IF(L48&gt;J51,L60,J60))</f>
        <v>26381</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1279874</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26381</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529038</v>
      </c>
      <c r="R49" s="1416" t="s">
        <v>818</v>
      </c>
    </row>
    <row r="50" spans="1:18" s="1380" customFormat="1" ht="13.8" thickBot="1">
      <c r="A50" s="972"/>
      <c r="B50" s="975"/>
      <c r="C50" s="976"/>
      <c r="D50" s="949"/>
      <c r="E50" s="1052" t="s">
        <v>697</v>
      </c>
      <c r="F50" s="1053">
        <f ca="1">F7</f>
        <v>109.12</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738505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1306255</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354455</v>
      </c>
      <c r="D56" s="1443"/>
      <c r="E56" s="1444"/>
      <c r="F56" s="1436"/>
      <c r="I56" s="1445" t="s">
        <v>842</v>
      </c>
      <c r="J56" s="1446" t="s">
        <v>3411</v>
      </c>
      <c r="K56" s="1417" t="s">
        <v>843</v>
      </c>
      <c r="L56" s="1420" t="str">
        <f ca="1">IF(L48&lt;J51,"——",L48-J51)</f>
        <v>——</v>
      </c>
      <c r="O56" s="1414" t="s">
        <v>403</v>
      </c>
      <c r="P56" s="1415" t="s">
        <v>817</v>
      </c>
      <c r="Q56" s="1416">
        <f ca="1">C40+J29</f>
        <v>1279874</v>
      </c>
      <c r="R56" s="1416" t="s">
        <v>818</v>
      </c>
    </row>
    <row r="57" spans="1:18" s="1380" customFormat="1" ht="24.6" thickBot="1">
      <c r="A57" s="1447"/>
      <c r="B57" s="946" t="s">
        <v>767</v>
      </c>
      <c r="C57" s="238">
        <f ca="1">C29</f>
        <v>529038</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5644</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211615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26381</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1279874</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5290</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354</v>
      </c>
      <c r="D65" s="960" t="s">
        <v>743</v>
      </c>
      <c r="E65" s="946" t="s">
        <v>744</v>
      </c>
      <c r="F65" s="330">
        <f t="shared" ca="1" si="0"/>
        <v>1E-3</v>
      </c>
      <c r="I65" s="1458" t="s">
        <v>867</v>
      </c>
      <c r="J65" s="1459">
        <v>40</v>
      </c>
      <c r="K65" s="1459">
        <v>30</v>
      </c>
      <c r="L65" s="1459">
        <v>50</v>
      </c>
      <c r="M65" s="1461">
        <v>0.02</v>
      </c>
      <c r="O65" s="1414" t="s">
        <v>403</v>
      </c>
      <c r="P65" s="1415" t="s">
        <v>868</v>
      </c>
      <c r="Q65" s="1416">
        <f ca="1">C40+J29</f>
        <v>1279874</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-5644</v>
      </c>
      <c r="D67" s="959" t="s">
        <v>753</v>
      </c>
      <c r="E67" s="964"/>
      <c r="F67" s="965"/>
      <c r="O67" s="1424" t="s">
        <v>405</v>
      </c>
      <c r="P67" s="1415" t="s">
        <v>850</v>
      </c>
      <c r="Q67" s="1462">
        <f ca="1">L51</f>
        <v>738505</v>
      </c>
      <c r="R67" s="1416" t="s">
        <v>870</v>
      </c>
    </row>
    <row r="68" spans="1:18" s="1380" customFormat="1" ht="16.2" thickBot="1">
      <c r="A68" s="943" t="s">
        <v>395</v>
      </c>
      <c r="B68" s="944" t="s">
        <v>774</v>
      </c>
      <c r="C68" s="301">
        <f ca="1">ROUND(C67*(1-((1+F70)/(1+F68))^F69)/(F68-F70),0)</f>
        <v>-85174</v>
      </c>
      <c r="D68" s="961" t="s">
        <v>758</v>
      </c>
      <c r="E68" s="946" t="s">
        <v>759</v>
      </c>
      <c r="F68" s="312">
        <f ca="1">F40</f>
        <v>0.05</v>
      </c>
      <c r="O68" s="1424" t="s">
        <v>406</v>
      </c>
      <c r="P68" s="1463" t="s">
        <v>871</v>
      </c>
      <c r="Q68" s="1416">
        <f ca="1">ROUND(Q69-Q70*Q71,0)</f>
        <v>40914</v>
      </c>
      <c r="R68" s="1416" t="s">
        <v>414</v>
      </c>
    </row>
    <row r="69" spans="1:18" s="1380" customFormat="1" ht="13.8" thickBot="1">
      <c r="A69" s="947"/>
      <c r="B69" s="948"/>
      <c r="C69" s="306"/>
      <c r="D69" s="966" t="s">
        <v>762</v>
      </c>
      <c r="E69" s="946" t="s">
        <v>763</v>
      </c>
      <c r="F69" s="333">
        <f ca="1">F41</f>
        <v>28.79</v>
      </c>
      <c r="O69" s="1424" t="s">
        <v>411</v>
      </c>
      <c r="P69" s="1463" t="s">
        <v>872</v>
      </c>
      <c r="Q69" s="1416">
        <f ca="1">C39</f>
        <v>63954</v>
      </c>
      <c r="R69" s="1416" t="s">
        <v>818</v>
      </c>
    </row>
    <row r="70" spans="1:18" s="1380" customFormat="1" ht="13.8" thickBot="1">
      <c r="A70" s="950"/>
      <c r="B70" s="951"/>
      <c r="C70" s="310"/>
      <c r="D70" s="962"/>
      <c r="E70" s="946" t="s">
        <v>766</v>
      </c>
      <c r="F70" s="1050"/>
      <c r="O70" s="1424" t="s">
        <v>412</v>
      </c>
      <c r="P70" s="1463" t="s">
        <v>873</v>
      </c>
      <c r="Q70" s="1416">
        <f ca="1">C13</f>
        <v>354455</v>
      </c>
      <c r="R70" s="1416" t="s">
        <v>818</v>
      </c>
    </row>
    <row r="71" spans="1:18" s="1380" customFormat="1" ht="13.8" thickBot="1">
      <c r="A71" s="967" t="s">
        <v>396</v>
      </c>
      <c r="B71" s="968" t="s">
        <v>776</v>
      </c>
      <c r="C71" s="336">
        <f ca="1">ROUND(C68/F71,0)</f>
        <v>-781</v>
      </c>
      <c r="D71" s="969" t="s">
        <v>777</v>
      </c>
      <c r="E71" s="970" t="s">
        <v>778</v>
      </c>
      <c r="F71" s="339">
        <f ca="1">F43</f>
        <v>109.12</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23040</v>
      </c>
      <c r="D75" s="1380"/>
      <c r="E75" s="1380"/>
      <c r="F75" s="1380"/>
      <c r="K75" s="1398"/>
      <c r="L75" s="1380"/>
      <c r="O75" s="1414" t="s">
        <v>409</v>
      </c>
      <c r="P75" s="1415" t="s">
        <v>838</v>
      </c>
      <c r="Q75" s="1416">
        <f ca="1">Q65+Q66</f>
        <v>1279874</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0.64</v>
      </c>
    </row>
    <row r="80" spans="1:18">
      <c r="B80" s="340" t="s">
        <v>800</v>
      </c>
      <c r="C80" s="274">
        <f ca="1">ROUND(C75/C39,3)</f>
        <v>0.36</v>
      </c>
    </row>
    <row r="81" spans="2:3">
      <c r="B81" s="270" t="s">
        <v>801</v>
      </c>
      <c r="C81" s="238"/>
    </row>
    <row r="82" spans="2:3">
      <c r="B82" s="273" t="s">
        <v>802</v>
      </c>
      <c r="C82" s="275">
        <f ca="1">1-C83</f>
        <v>0.72299999999999998</v>
      </c>
    </row>
    <row r="83" spans="2:3">
      <c r="B83" s="273" t="s">
        <v>803</v>
      </c>
      <c r="C83" s="274">
        <f ca="1">ROUND(C13/C40,3)</f>
        <v>0.27700000000000002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Q61" sqref="Q6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109.12</v>
      </c>
      <c r="D34" s="127">
        <v>100</v>
      </c>
      <c r="E34" s="381">
        <v>260</v>
      </c>
      <c r="F34" s="376">
        <f>LOOKUP(E34,104:104,105:105)-LOOKUP(C34,104:104,105:105)+100</f>
        <v>100</v>
      </c>
      <c r="G34" s="380">
        <v>150</v>
      </c>
      <c r="H34" s="127">
        <f>LOOKUP(G34,104:104,105:105)-LOOKUP(C34,104:104,105:105)+100</f>
        <v>100</v>
      </c>
      <c r="I34" s="380">
        <v>263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109.12</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37</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3391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109.12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109.12</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42</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38</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109.12</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4</v>
      </c>
      <c r="D45" s="235">
        <f ca="1">C47</f>
        <v>2E-3</v>
      </c>
      <c r="E45" s="236" t="s">
        <v>1539</v>
      </c>
      <c r="F45" s="246">
        <f ca="1">F27</f>
        <v>0.1</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35</v>
      </c>
      <c r="D51" s="232"/>
      <c r="E51" s="232"/>
      <c r="F51" s="264"/>
      <c r="G51" s="234" t="s">
        <v>1560</v>
      </c>
    </row>
    <row r="52" spans="1:7" s="208" customFormat="1" ht="16.8" thickBot="1">
      <c r="A52" s="265" t="s">
        <v>1561</v>
      </c>
      <c r="B52" s="266"/>
      <c r="C52" s="267">
        <f ca="1">C31+C51</f>
        <v>37</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1204467</v>
      </c>
      <c r="D6" s="217"/>
      <c r="E6" s="218"/>
      <c r="F6" s="218"/>
      <c r="G6" s="219"/>
    </row>
    <row r="7" spans="1:8" s="214" customFormat="1" ht="13.5" customHeight="1">
      <c r="A7" s="776" t="s">
        <v>1474</v>
      </c>
      <c r="B7" s="215" t="s">
        <v>1475</v>
      </c>
      <c r="C7" s="220">
        <f>ROUND(C6*F7,0)</f>
        <v>36736</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-2</v>
      </c>
      <c r="C2" s="276" t="s">
        <v>1595</v>
      </c>
      <c r="D2" s="276"/>
      <c r="E2" s="2800"/>
      <c r="F2" s="2800"/>
      <c r="G2" s="2800"/>
      <c r="H2" s="2800"/>
      <c r="I2" s="2800"/>
      <c r="J2" s="2800"/>
      <c r="K2" s="2800"/>
    </row>
    <row r="3" spans="1:33" ht="18" customHeight="1" thickBot="1">
      <c r="A3" s="203" t="s">
        <v>1464</v>
      </c>
      <c r="B3" s="204">
        <f ca="1">ROUND(B2*10000/IF(C1="",'数据-汇总表'!E3,INDIRECT("'数据-取费表'!K"&amp;$K$1)),0)</f>
        <v>-183</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109.12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109.12</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109.12</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2"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2"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130.62549999999999</v>
      </c>
      <c r="C2" s="1868" t="s">
        <v>1651</v>
      </c>
      <c r="D2" s="1869" t="s">
        <v>1652</v>
      </c>
      <c r="E2" s="2601">
        <f>SUM(E6:E13)</f>
        <v>109.12</v>
      </c>
      <c r="F2" s="2701"/>
      <c r="G2" s="1485"/>
      <c r="H2" s="1485"/>
      <c r="I2" s="1485"/>
      <c r="J2" s="1485"/>
      <c r="K2" s="1485"/>
      <c r="L2" s="1485"/>
      <c r="M2" s="1485"/>
      <c r="N2" s="1485"/>
      <c r="O2" s="1485"/>
      <c r="P2" s="1485"/>
      <c r="Q2" s="1485"/>
      <c r="R2" s="1485"/>
      <c r="S2" s="1485"/>
    </row>
    <row r="3" spans="1:22" ht="15.6">
      <c r="A3" s="1866" t="s">
        <v>686</v>
      </c>
      <c r="B3" s="2595">
        <f ca="1">ROUND(B2*10000/E2,0)</f>
        <v>11971</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130.62549999999999</v>
      </c>
      <c r="C6" s="1868" t="s">
        <v>1651</v>
      </c>
      <c r="D6" s="2703"/>
      <c r="E6" s="2600">
        <f>IF(OR(A6=0,F6="否"),0,'数据-取费表'!K6+'数据-取费表'!S6)</f>
        <v>109.12</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受贵公司委托，我公司对北京市大兴区芳源里1号楼9层913房地产抵押价值进行了预评估。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估价对象为北京市大兴区芳源里1号楼9层913房地产，为鲍建军所有。根据《国有土地使用证》[]，估价对象（分摊）出让国有建设用地使用权面积为0平方米，建筑面积为109.12平方米。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9层913房地产,属鲍建军开发建设的办公项目，该项目尚在开发建设中。根据《国有土地使用证》[]，估价对象（分摊）出让国有建设用地使用权面积为0平方米，规划建筑面积为109.12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9层913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109.12</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109.12</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109.12</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109.12</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109.12</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109.12</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945.22999999999979</v>
      </c>
      <c r="C22" s="3761" t="s">
        <v>27</v>
      </c>
      <c r="D22" s="3762"/>
      <c r="E22" s="3762"/>
      <c r="F22" s="3762"/>
      <c r="G22" s="3762"/>
      <c r="H22" s="3762"/>
      <c r="I22" s="3762"/>
      <c r="J22" s="3762"/>
      <c r="K22" s="3762"/>
      <c r="L22" s="3762"/>
      <c r="M22" s="3762"/>
      <c r="N22" s="3762"/>
      <c r="O22" s="3762"/>
      <c r="P22" s="3762"/>
      <c r="Q22" s="3763"/>
      <c r="R22" s="661">
        <f ca="1">ROUND(S22*10000/B22,0)</f>
        <v>18175</v>
      </c>
      <c r="S22" s="21">
        <f ca="1">SUM(S24:S10000)</f>
        <v>1718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109.12</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17803</v>
      </c>
      <c r="S24" s="664">
        <f t="shared" ref="S24:S54" ca="1" si="11">ROUND(R24*B24/10000,0)</f>
        <v>194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18693</v>
      </c>
      <c r="S25" s="316">
        <f t="shared" ca="1" si="11"/>
        <v>208</v>
      </c>
    </row>
    <row r="26" spans="1:45">
      <c r="A26" s="150">
        <v>806</v>
      </c>
      <c r="B26" s="54">
        <v>62.05</v>
      </c>
      <c r="C26" s="21">
        <f t="shared" ref="C26:C89" si="12">IF(B26="",1,(LOOKUP(B26,$3:$3,$4:$4)-LOOKUP($B$24,$3:$3,$4:$4)+100)/100)</f>
        <v>0.98</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18319</v>
      </c>
      <c r="S26" s="316">
        <f t="shared" ca="1" si="11"/>
        <v>114</v>
      </c>
    </row>
    <row r="27" spans="1:45">
      <c r="A27" s="150">
        <v>809</v>
      </c>
      <c r="B27" s="54">
        <v>62.05</v>
      </c>
      <c r="C27" s="21">
        <f t="shared" si="12"/>
        <v>0.98</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18319</v>
      </c>
      <c r="S27" s="316">
        <f t="shared" ca="1" si="11"/>
        <v>114</v>
      </c>
    </row>
    <row r="28" spans="1:45">
      <c r="A28" s="150">
        <v>911</v>
      </c>
      <c r="B28" s="54">
        <v>59.54</v>
      </c>
      <c r="C28" s="21">
        <f t="shared" si="12"/>
        <v>0.98</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17953</v>
      </c>
      <c r="S28" s="316">
        <f t="shared" ca="1" si="11"/>
        <v>107</v>
      </c>
    </row>
    <row r="29" spans="1:45">
      <c r="A29" s="150">
        <v>913</v>
      </c>
      <c r="B29" s="54">
        <v>109.12</v>
      </c>
      <c r="C29" s="21">
        <f t="shared" si="12"/>
        <v>1</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17587</v>
      </c>
      <c r="S29" s="316">
        <f t="shared" ca="1" si="11"/>
        <v>192</v>
      </c>
    </row>
    <row r="30" spans="1:45">
      <c r="A30" s="150">
        <v>612</v>
      </c>
      <c r="B30" s="54">
        <v>121.67</v>
      </c>
      <c r="C30" s="21">
        <f t="shared" si="12"/>
        <v>1</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17803</v>
      </c>
      <c r="S30" s="316">
        <f t="shared" ca="1" si="11"/>
        <v>217</v>
      </c>
    </row>
    <row r="31" spans="1:45">
      <c r="A31" s="150">
        <v>704</v>
      </c>
      <c r="B31" s="54">
        <v>62.05</v>
      </c>
      <c r="C31" s="21">
        <f t="shared" si="12"/>
        <v>0.98</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18319</v>
      </c>
      <c r="S31" s="316">
        <f t="shared" ca="1" si="11"/>
        <v>114</v>
      </c>
    </row>
    <row r="32" spans="1:45">
      <c r="A32" s="150">
        <v>706</v>
      </c>
      <c r="B32" s="54">
        <v>62.05</v>
      </c>
      <c r="C32" s="21">
        <f t="shared" si="12"/>
        <v>0.98</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18686</v>
      </c>
      <c r="S32" s="316">
        <f t="shared" ca="1" si="11"/>
        <v>116</v>
      </c>
    </row>
    <row r="33" spans="1:19">
      <c r="A33" s="150">
        <v>707</v>
      </c>
      <c r="B33" s="54">
        <v>62.05</v>
      </c>
      <c r="C33" s="21">
        <f t="shared" si="12"/>
        <v>0.98</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18319</v>
      </c>
      <c r="S33" s="316">
        <f t="shared" ca="1" si="11"/>
        <v>114</v>
      </c>
    </row>
    <row r="34" spans="1:19">
      <c r="A34" s="150">
        <v>710</v>
      </c>
      <c r="B34" s="54">
        <v>62.05</v>
      </c>
      <c r="C34" s="21">
        <f t="shared" si="12"/>
        <v>0.98</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18319</v>
      </c>
      <c r="S34" s="316">
        <f t="shared" ca="1" si="11"/>
        <v>114</v>
      </c>
    </row>
    <row r="35" spans="1:19">
      <c r="A35" s="150">
        <v>805</v>
      </c>
      <c r="B35" s="54">
        <v>62.05</v>
      </c>
      <c r="C35" s="21">
        <f t="shared" si="12"/>
        <v>0.98</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18319</v>
      </c>
      <c r="S35" s="316">
        <f t="shared" ca="1" si="11"/>
        <v>114</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120</v>
      </c>
      <c r="C2" s="2140" t="s">
        <v>2074</v>
      </c>
      <c r="D2" s="2140" t="s">
        <v>2075</v>
      </c>
      <c r="E2" s="2606">
        <f ca="1">SUMIF(E6:E13,"&lt;&gt;#ref!",E6:E13)</f>
        <v>109.12</v>
      </c>
      <c r="F2" s="2787"/>
      <c r="G2" s="2787"/>
      <c r="H2" s="2787"/>
      <c r="I2" s="2787"/>
      <c r="J2" s="2787"/>
      <c r="K2" s="2787"/>
      <c r="L2" s="2787"/>
      <c r="M2" s="2787"/>
      <c r="N2" s="2787"/>
      <c r="O2" s="2787"/>
      <c r="P2" s="2787"/>
    </row>
    <row r="3" spans="1:16" ht="15.6">
      <c r="A3" s="2140" t="s">
        <v>2076</v>
      </c>
      <c r="B3" s="2596">
        <f ca="1">ROUND(B2*10000/E2,0)</f>
        <v>10997</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120</v>
      </c>
      <c r="C6" s="2140" t="s">
        <v>2074</v>
      </c>
      <c r="D6" s="2787"/>
      <c r="E6" s="2606">
        <f ca="1">SUMIF(INDIRECT("'"&amp;A6&amp;"'"&amp;"!C:C"),"建筑面积",INDIRECT("'"&amp;A6&amp;"'"&amp;"!D:D"))</f>
        <v>109.12</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109.12</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120</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10997</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120</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109.12</v>
      </c>
      <c r="E33" s="771">
        <f>ROUND(C33*D33/10000,0)</f>
        <v>120</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194</v>
      </c>
      <c r="E5" s="1487"/>
    </row>
    <row r="6" spans="1:5" ht="15.6">
      <c r="A6" s="1487"/>
      <c r="B6" s="3477"/>
      <c r="C6" s="1490" t="s">
        <v>911</v>
      </c>
      <c r="D6" s="848" t="str">
        <f ca="1">NUMBERSTRING(INT(D5*10000),2)&amp;"元整"</f>
        <v>壹佰玖拾肆万元整</v>
      </c>
      <c r="E6" s="1487"/>
    </row>
    <row r="7" spans="1:5" ht="15.6">
      <c r="A7" s="1487"/>
      <c r="B7" s="3482"/>
      <c r="C7" s="1491" t="s">
        <v>912</v>
      </c>
      <c r="D7" s="849">
        <f ca="1">结果表!H102</f>
        <v>17803</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194</v>
      </c>
      <c r="E13" s="1487"/>
    </row>
    <row r="14" spans="1:5" ht="15.6">
      <c r="A14" s="1487"/>
      <c r="B14" s="3477"/>
      <c r="C14" s="1490" t="s">
        <v>911</v>
      </c>
      <c r="D14" s="848" t="str">
        <f ca="1">NUMBERSTRING(INT(D13*10000),2)&amp;"元整"</f>
        <v>壹佰玖拾肆万元整</v>
      </c>
      <c r="E14" s="1487"/>
    </row>
    <row r="15" spans="1:5" ht="15.6">
      <c r="A15" s="1487"/>
      <c r="B15" s="3482"/>
      <c r="C15" s="1491" t="s">
        <v>921</v>
      </c>
      <c r="D15" s="857">
        <f ca="1">结果表!H108</f>
        <v>17803</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4.4">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24">
      <c r="A85" s="3112">
        <v>13</v>
      </c>
      <c r="B85" s="3789"/>
      <c r="C85" s="3086" t="s">
        <v>2680</v>
      </c>
      <c r="D85" s="3086" t="s">
        <v>2681</v>
      </c>
      <c r="E85" s="3112">
        <v>0.1</v>
      </c>
      <c r="F85" s="3112">
        <v>15</v>
      </c>
    </row>
    <row r="86" spans="1:6" ht="24">
      <c r="A86" s="3112">
        <v>14</v>
      </c>
      <c r="B86" s="3789"/>
      <c r="C86" s="3086" t="s">
        <v>2682</v>
      </c>
      <c r="D86" s="3086" t="s">
        <v>2683</v>
      </c>
      <c r="E86" s="3112">
        <v>0.1</v>
      </c>
      <c r="F86" s="3112">
        <v>15</v>
      </c>
    </row>
    <row r="87" spans="1:6" ht="24">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4.4">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4.4">
      <c r="A92" s="3112">
        <v>20</v>
      </c>
      <c r="B92" s="3789"/>
      <c r="C92" s="3086" t="s">
        <v>2695</v>
      </c>
      <c r="D92" s="3086" t="s">
        <v>2696</v>
      </c>
      <c r="E92" s="3112">
        <v>0.15</v>
      </c>
      <c r="F92" s="3112">
        <v>20</v>
      </c>
    </row>
    <row r="93" spans="1:6" ht="24">
      <c r="A93" s="3112">
        <v>21</v>
      </c>
      <c r="B93" s="3789"/>
      <c r="C93" s="3086" t="s">
        <v>2697</v>
      </c>
      <c r="D93" s="3086" t="s">
        <v>2698</v>
      </c>
      <c r="E93" s="3112">
        <v>0.15</v>
      </c>
      <c r="F93" s="3112">
        <v>20</v>
      </c>
    </row>
    <row r="94" spans="1:6" ht="24">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24">
      <c r="A96" s="3112">
        <v>24</v>
      </c>
      <c r="B96" s="3789"/>
      <c r="C96" s="3086" t="s">
        <v>2703</v>
      </c>
      <c r="D96" s="3086" t="s">
        <v>2704</v>
      </c>
      <c r="E96" s="3112">
        <v>0.1</v>
      </c>
      <c r="F96" s="3112">
        <v>15</v>
      </c>
    </row>
    <row r="97" spans="1:6" ht="24">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24">
      <c r="A100" s="3112">
        <v>28</v>
      </c>
      <c r="B100" s="3789"/>
      <c r="C100" s="3086" t="s">
        <v>2711</v>
      </c>
      <c r="D100" s="3086" t="s">
        <v>2712</v>
      </c>
      <c r="E100" s="3112">
        <v>0.1</v>
      </c>
      <c r="F100" s="3112">
        <v>15</v>
      </c>
    </row>
    <row r="101" spans="1:6" ht="24">
      <c r="A101" s="3112">
        <v>29</v>
      </c>
      <c r="B101" s="3789"/>
      <c r="C101" s="3086" t="s">
        <v>2713</v>
      </c>
      <c r="D101" s="3086" t="s">
        <v>2714</v>
      </c>
      <c r="E101" s="3112">
        <v>0.1</v>
      </c>
      <c r="F101" s="3112">
        <v>15</v>
      </c>
    </row>
    <row r="102" spans="1:6" ht="24">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36">
      <c r="A107" s="3112">
        <v>35</v>
      </c>
      <c r="B107" s="3787" t="s">
        <v>2725</v>
      </c>
      <c r="C107" s="3112" t="s">
        <v>2726</v>
      </c>
      <c r="D107" s="3086" t="s">
        <v>2727</v>
      </c>
      <c r="E107" s="3112">
        <v>0.15</v>
      </c>
      <c r="F107" s="3112">
        <v>20</v>
      </c>
    </row>
    <row r="108" spans="1:6" ht="24">
      <c r="A108" s="3112">
        <v>36</v>
      </c>
      <c r="B108" s="3789"/>
      <c r="C108" s="3112" t="s">
        <v>2728</v>
      </c>
      <c r="D108" s="3086" t="s">
        <v>2729</v>
      </c>
      <c r="E108" s="3112">
        <v>0.15</v>
      </c>
      <c r="F108" s="3112">
        <v>20</v>
      </c>
    </row>
    <row r="109" spans="1:6" ht="24">
      <c r="A109" s="3112">
        <v>37</v>
      </c>
      <c r="B109" s="3789"/>
      <c r="C109" s="3112" t="s">
        <v>2730</v>
      </c>
      <c r="D109" s="3086" t="s">
        <v>2731</v>
      </c>
      <c r="E109" s="3112">
        <v>0.15</v>
      </c>
      <c r="F109" s="3112">
        <v>20</v>
      </c>
    </row>
    <row r="110" spans="1:6" ht="24">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24">
      <c r="A113" s="3112">
        <v>41</v>
      </c>
      <c r="B113" s="3786" t="s">
        <v>2738</v>
      </c>
      <c r="C113" s="3112" t="s">
        <v>2739</v>
      </c>
      <c r="D113" s="3086" t="s">
        <v>2740</v>
      </c>
      <c r="E113" s="3112">
        <v>0.1</v>
      </c>
      <c r="F113" s="3112">
        <v>15</v>
      </c>
    </row>
    <row r="114" spans="1:6" ht="24">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24">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24">
      <c r="A120" s="3112">
        <v>48</v>
      </c>
      <c r="B120" s="3787" t="s">
        <v>2755</v>
      </c>
      <c r="C120" s="3112" t="s">
        <v>2756</v>
      </c>
      <c r="D120" s="3086" t="s">
        <v>2757</v>
      </c>
      <c r="E120" s="3112">
        <v>0.1</v>
      </c>
      <c r="F120" s="3112">
        <v>15</v>
      </c>
    </row>
    <row r="121" spans="1:6" ht="24">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86" t="s">
        <v>2773</v>
      </c>
      <c r="C127" s="3112" t="s">
        <v>2774</v>
      </c>
      <c r="D127" s="3086" t="s">
        <v>2775</v>
      </c>
      <c r="E127" s="3112">
        <v>0.1</v>
      </c>
      <c r="F127" s="3112">
        <v>15</v>
      </c>
    </row>
    <row r="128" spans="1:6" ht="24">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24">
      <c r="A131" s="3112">
        <v>59</v>
      </c>
      <c r="B131" s="3786"/>
      <c r="C131" s="3112" t="s">
        <v>2783</v>
      </c>
      <c r="D131" s="3086" t="s">
        <v>2784</v>
      </c>
      <c r="E131" s="3112">
        <v>0.1</v>
      </c>
      <c r="F131" s="3112">
        <v>15</v>
      </c>
    </row>
    <row r="132" spans="1:6" ht="24">
      <c r="A132" s="3112">
        <v>60</v>
      </c>
      <c r="B132" s="3787" t="s">
        <v>2785</v>
      </c>
      <c r="C132" s="3112" t="s">
        <v>2786</v>
      </c>
      <c r="D132" s="3086" t="s">
        <v>2787</v>
      </c>
      <c r="E132" s="3112">
        <v>0.1</v>
      </c>
      <c r="F132" s="3112">
        <v>15</v>
      </c>
    </row>
    <row r="133" spans="1:6" ht="24">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86" t="s">
        <v>2793</v>
      </c>
      <c r="C135" s="3112" t="s">
        <v>2794</v>
      </c>
      <c r="D135" s="3086" t="s">
        <v>2795</v>
      </c>
      <c r="E135" s="3112">
        <v>0.1</v>
      </c>
      <c r="F135" s="3112">
        <v>15</v>
      </c>
    </row>
    <row r="136" spans="1:6" ht="24">
      <c r="A136" s="3112">
        <v>64</v>
      </c>
      <c r="B136" s="3786"/>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26618</v>
      </c>
      <c r="C2" s="2" t="s">
        <v>106</v>
      </c>
      <c r="D2" s="199"/>
      <c r="E2" s="199"/>
      <c r="F2" s="199"/>
      <c r="G2" s="199"/>
    </row>
    <row r="3" spans="1:7" s="200" customFormat="1" ht="18" customHeight="1" thickBot="1">
      <c r="A3" s="203" t="s">
        <v>58</v>
      </c>
      <c r="B3" s="204">
        <f ca="1">ROUND(B2*10000/'数据-汇总表'!E3,0)</f>
        <v>2439333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2</v>
      </c>
      <c r="D10" s="843">
        <f>'数据-汇总表'!E6</f>
        <v>109.12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109.12</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38</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109.12</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1</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4</v>
      </c>
      <c r="D45" s="235">
        <f>C47</f>
        <v>2E-3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52</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35</v>
      </c>
      <c r="D51" s="232"/>
      <c r="E51" s="232"/>
      <c r="F51" s="264"/>
      <c r="G51" s="234" t="s">
        <v>37</v>
      </c>
    </row>
    <row r="52" spans="1:7" s="208" customFormat="1" ht="16.8" thickBot="1">
      <c r="A52" s="265" t="s">
        <v>38</v>
      </c>
      <c r="B52" s="266"/>
      <c r="C52" s="267">
        <f ca="1">C31+C51</f>
        <v>26618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30">
      <c r="A4" s="1501" t="str">
        <f>项目基本情况!S2</f>
        <v>北京市大兴区芳源里1号楼9层913房地产</v>
      </c>
      <c r="B4" s="852">
        <f>项目基本情况!C17</f>
        <v>109.12</v>
      </c>
      <c r="C4" s="852">
        <f>项目基本情况!C18</f>
        <v>0</v>
      </c>
      <c r="D4" s="852">
        <f>结果表!D118</f>
        <v>0</v>
      </c>
      <c r="E4" s="852">
        <f>结果表!E118</f>
        <v>0</v>
      </c>
      <c r="F4" s="852">
        <f>结果表!F118</f>
        <v>0</v>
      </c>
      <c r="G4" s="852">
        <f>结果表!G118</f>
        <v>0</v>
      </c>
      <c r="H4" s="852">
        <f ca="1">结果表!H118</f>
        <v>194</v>
      </c>
      <c r="I4" s="852">
        <f ca="1">结果表!I118</f>
        <v>17803</v>
      </c>
    </row>
    <row r="5" spans="1:9" ht="30" customHeight="1">
      <c r="A5" s="3489" t="s">
        <v>927</v>
      </c>
      <c r="B5" s="3489"/>
      <c r="C5" s="3489"/>
      <c r="D5" s="3489" t="str">
        <f>结果表!D119</f>
        <v>零元整</v>
      </c>
      <c r="E5" s="3489"/>
      <c r="F5" s="3489" t="str">
        <f>结果表!F119</f>
        <v>零元整</v>
      </c>
      <c r="G5" s="3489"/>
      <c r="H5" s="3489" t="str">
        <f ca="1">结果表!H119</f>
        <v>壹佰玖拾肆万元整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194</v>
      </c>
      <c r="E8" s="3488"/>
      <c r="F8" s="3488"/>
      <c r="G8" s="3488"/>
      <c r="H8" s="3488"/>
      <c r="I8" s="3488"/>
    </row>
    <row r="9" spans="1:9" ht="15">
      <c r="A9" s="3489" t="s">
        <v>927</v>
      </c>
      <c r="B9" s="3489"/>
      <c r="C9" s="3489"/>
      <c r="D9" s="3489" t="str">
        <f ca="1">结果表!D123</f>
        <v>壹佰玖拾肆万元整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1" t="s">
        <v>949</v>
      </c>
      <c r="B1" s="3501"/>
      <c r="C1" s="3501"/>
      <c r="D1" s="3501"/>
    </row>
    <row r="2" spans="1:4" ht="17.399999999999999">
      <c r="A2" s="3502" t="s">
        <v>933</v>
      </c>
      <c r="B2" s="3502"/>
      <c r="C2" s="3502"/>
      <c r="D2" s="3502"/>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502" t="s">
        <v>939</v>
      </c>
      <c r="B6" s="3502"/>
      <c r="C6" s="3502"/>
      <c r="D6" s="3502"/>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2024-05-28T13:15:45Z</dcterms:modified>
</cp:coreProperties>
</file>