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r:id="rId33"/>
    <sheet name="不动产收益法" sheetId="15"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Q8" i="1" l="1"/>
  <c r="Q7" i="1"/>
  <c r="G104" i="73"/>
  <c r="H104" i="73" s="1"/>
  <c r="F104" i="73"/>
  <c r="D104" i="73"/>
  <c r="C104" i="73" s="1"/>
  <c r="G104" i="21"/>
  <c r="H104" i="21" s="1"/>
  <c r="F104" i="21"/>
  <c r="D104" i="21"/>
  <c r="C104" i="21" s="1"/>
  <c r="E58" i="39"/>
  <c r="J41" i="70"/>
  <c r="G90" i="70" l="1"/>
  <c r="K90" i="70" s="1"/>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AC7" i="73" l="1"/>
  <c r="W7" i="73"/>
  <c r="C15" i="66"/>
  <c r="B15" i="66"/>
  <c r="N31" i="70" l="1"/>
  <c r="O30" i="70"/>
  <c r="O25" i="70"/>
  <c r="AM18" i="3" l="1"/>
  <c r="AE17" i="3"/>
  <c r="N19" i="3"/>
  <c r="P24" i="70"/>
  <c r="P25" i="70"/>
  <c r="P26" i="70"/>
  <c r="P27" i="70"/>
  <c r="P28" i="70"/>
  <c r="P22" i="70"/>
  <c r="P31" i="70" l="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C23" i="6"/>
  <c r="J14" i="3"/>
  <c r="J15" i="3"/>
  <c r="J13" i="3"/>
  <c r="A3" i="3"/>
  <c r="C40" i="39" s="1"/>
  <c r="AL18" i="3"/>
  <c r="AD17" i="3"/>
  <c r="M19" i="3"/>
  <c r="K16" i="3"/>
  <c r="F22" i="6" s="1"/>
  <c r="I15" i="3"/>
  <c r="F21" i="6" s="1"/>
  <c r="I13" i="3"/>
  <c r="F19" i="6" s="1"/>
  <c r="C14" i="3"/>
  <c r="C15" i="3"/>
  <c r="C16" i="3"/>
  <c r="C17" i="3"/>
  <c r="C18" i="3"/>
  <c r="C19" i="3"/>
  <c r="C13" i="3"/>
  <c r="G92" i="70"/>
  <c r="G91" i="70"/>
  <c r="G93" i="70" s="1"/>
  <c r="G83" i="70"/>
  <c r="G70" i="70"/>
  <c r="M27" i="70"/>
  <c r="M26" i="70"/>
  <c r="M25" i="70"/>
  <c r="B25" i="70"/>
  <c r="N24" i="70"/>
  <c r="M24" i="70"/>
  <c r="O24" i="70" s="1"/>
  <c r="B24" i="70"/>
  <c r="N23" i="70"/>
  <c r="M23" i="70"/>
  <c r="P23" i="70" s="1"/>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I14" i="3" l="1"/>
  <c r="F20" i="6" s="1"/>
  <c r="P32" i="70"/>
  <c r="AG11" i="70"/>
  <c r="D23" i="72"/>
  <c r="D22" i="72"/>
  <c r="D24" i="72"/>
  <c r="M29" i="70"/>
  <c r="M28" i="70"/>
  <c r="G94" i="70"/>
  <c r="G96" i="70" s="1"/>
  <c r="AI8" i="70"/>
  <c r="AI11" i="70" s="1"/>
  <c r="O23" i="70"/>
  <c r="O29" i="70" s="1"/>
  <c r="O31" i="70" s="1"/>
  <c r="L33" i="70" s="1"/>
  <c r="G11" i="70"/>
  <c r="H11" i="70" s="1"/>
  <c r="C33" i="73" l="1"/>
  <c r="C33" i="2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H33" i="73" l="1"/>
  <c r="J33" i="73"/>
  <c r="F33" i="73"/>
  <c r="AH9" i="59"/>
  <c r="AG9" i="59"/>
  <c r="AE9" i="59"/>
  <c r="AF9" i="59" s="1"/>
  <c r="AD9" i="59"/>
  <c r="Q9" i="59"/>
  <c r="AB8" i="59" s="1"/>
  <c r="P9" i="59"/>
  <c r="AA6" i="59" s="1"/>
  <c r="O9" i="59"/>
  <c r="Y8" i="59" s="1"/>
  <c r="Z8" i="59" s="1"/>
  <c r="N9" i="59"/>
  <c r="X8" i="59" s="1"/>
  <c r="AA33" i="73" l="1"/>
  <c r="R48" i="73" s="1"/>
  <c r="S33" i="73"/>
  <c r="U33" i="73"/>
  <c r="AB33" i="73"/>
  <c r="T48" i="73" s="1"/>
  <c r="G48" i="73" s="1"/>
  <c r="W33" i="73"/>
  <c r="AC33" i="73"/>
  <c r="V48" i="73" s="1"/>
  <c r="I48" i="73" s="1"/>
  <c r="I52" i="73" s="1"/>
  <c r="J52" i="73" s="1"/>
  <c r="AB5" i="59"/>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G53" i="73" l="1"/>
  <c r="H53" i="73" s="1"/>
  <c r="G52" i="73"/>
  <c r="H52" i="73" s="1"/>
  <c r="R49" i="73"/>
  <c r="E48" i="73"/>
  <c r="R25" i="68"/>
  <c r="R5" i="68" s="1"/>
  <c r="U5" i="68" s="1"/>
  <c r="D7" i="68"/>
  <c r="C26" i="68" s="1"/>
  <c r="C32" i="68" s="1"/>
  <c r="C38" i="68" s="1"/>
  <c r="C39" i="68" s="1"/>
  <c r="E11" i="68"/>
  <c r="E7" i="68" s="1"/>
  <c r="C27" i="68" s="1"/>
  <c r="D23" i="68"/>
  <c r="C29" i="68"/>
  <c r="F26" i="43"/>
  <c r="F25" i="43"/>
  <c r="F19" i="43"/>
  <c r="E16" i="43"/>
  <c r="F15" i="43"/>
  <c r="F14" i="43"/>
  <c r="F17" i="43"/>
  <c r="C48" i="73" l="1"/>
  <c r="E8" i="12" s="1"/>
  <c r="C49" i="73"/>
  <c r="B3" i="73" s="1"/>
  <c r="I53" i="73"/>
  <c r="J53" i="73" s="1"/>
  <c r="E53" i="73"/>
  <c r="F53" i="73" s="1"/>
  <c r="E52" i="73"/>
  <c r="F52" i="73" s="1"/>
  <c r="D26" i="68"/>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D5" i="3" s="1"/>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E10" i="12" s="1"/>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BQ5" i="3" s="1"/>
  <c r="F28" i="6" s="1"/>
  <c r="E28"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AZ16" i="3" s="1"/>
  <c r="BA17" i="3"/>
  <c r="F3" i="35"/>
  <c r="K1" i="43"/>
  <c r="K1" i="12"/>
  <c r="G1" i="44"/>
  <c r="I4" i="6"/>
  <c r="I7" i="6" s="1"/>
  <c r="AZ15" i="3"/>
  <c r="BK5" i="3"/>
  <c r="BO5" i="3"/>
  <c r="BP5" i="3"/>
  <c r="BN5" i="3"/>
  <c r="BL18" i="3"/>
  <c r="AZ18" i="3" s="1"/>
  <c r="BC5" i="3"/>
  <c r="BR5" i="3"/>
  <c r="G28" i="6" s="1"/>
  <c r="BS5" i="3"/>
  <c r="BL16" i="3"/>
  <c r="BM5" i="3"/>
  <c r="BA13" i="3"/>
  <c r="BA5" i="3" s="1"/>
  <c r="G26" i="12"/>
  <c r="D26" i="44"/>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9" i="72"/>
  <c r="M6" i="15"/>
  <c r="F11" i="67"/>
  <c r="B10" i="67"/>
  <c r="F13" i="15"/>
  <c r="M31" i="44"/>
  <c r="M23" i="72"/>
  <c r="M24" i="72"/>
  <c r="M27" i="72"/>
  <c r="I3" i="65"/>
  <c r="M23" i="15"/>
  <c r="L49" i="44"/>
  <c r="E9" i="67"/>
  <c r="M28" i="44"/>
  <c r="M29" i="44"/>
  <c r="L48" i="72"/>
  <c r="F28" i="44"/>
  <c r="F43" i="44"/>
  <c r="I5" i="65"/>
  <c r="F46" i="44"/>
  <c r="F39" i="44"/>
  <c r="M25" i="44"/>
  <c r="J6" i="65"/>
  <c r="J4" i="65"/>
  <c r="F36" i="15"/>
  <c r="B8" i="67"/>
  <c r="E12" i="67"/>
  <c r="E14" i="67"/>
  <c r="F9" i="44"/>
  <c r="B12" i="67"/>
  <c r="F11" i="44"/>
  <c r="F7" i="72"/>
  <c r="M27" i="15"/>
  <c r="L48" i="44"/>
  <c r="B11" i="67"/>
  <c r="I6" i="65"/>
  <c r="M10" i="44"/>
  <c r="N7" i="65"/>
  <c r="E11" i="67"/>
  <c r="F8" i="67"/>
  <c r="F37" i="72"/>
  <c r="F42" i="72"/>
  <c r="F40" i="44"/>
  <c r="F15" i="44"/>
  <c r="F43" i="15"/>
  <c r="N5" i="65"/>
  <c r="N4" i="65"/>
  <c r="E13" i="67"/>
  <c r="F43" i="72"/>
  <c r="M26" i="15"/>
  <c r="B9" i="67"/>
  <c r="M24" i="44"/>
  <c r="M22" i="15"/>
  <c r="M26" i="44"/>
  <c r="J3" i="65"/>
  <c r="M8" i="72"/>
  <c r="N3" i="65"/>
  <c r="J36" i="15"/>
  <c r="F9" i="72"/>
  <c r="F26" i="72"/>
  <c r="J36" i="72"/>
  <c r="J15" i="15"/>
  <c r="M28" i="15"/>
  <c r="L47" i="15"/>
  <c r="E8" i="67"/>
  <c r="B14" i="67"/>
  <c r="M24" i="15"/>
  <c r="M6" i="72"/>
  <c r="L48" i="15"/>
  <c r="N6" i="65"/>
  <c r="F26" i="15"/>
  <c r="M11" i="44"/>
  <c r="M30" i="44"/>
  <c r="F18" i="44"/>
  <c r="M26" i="72"/>
  <c r="L47" i="72"/>
  <c r="F14" i="67"/>
  <c r="F8" i="72"/>
  <c r="F40" i="15"/>
  <c r="F36" i="72"/>
  <c r="F6" i="72"/>
  <c r="F38" i="15"/>
  <c r="F7" i="15"/>
  <c r="I7" i="65"/>
  <c r="F45" i="44"/>
  <c r="F6" i="15"/>
  <c r="F10" i="44"/>
  <c r="F9" i="67"/>
  <c r="M8" i="15"/>
  <c r="F10" i="67"/>
  <c r="F38" i="44"/>
  <c r="F13" i="67"/>
  <c r="M29" i="72"/>
  <c r="J17" i="44"/>
  <c r="F12" i="67"/>
  <c r="M9" i="15"/>
  <c r="F37" i="15"/>
  <c r="F8" i="44"/>
  <c r="F16" i="72"/>
  <c r="J15" i="72"/>
  <c r="M28" i="72"/>
  <c r="F16" i="15"/>
  <c r="J7" i="65"/>
  <c r="J5" i="65"/>
  <c r="M8" i="44"/>
  <c r="B13" i="67"/>
  <c r="F9" i="15"/>
  <c r="M22" i="72"/>
  <c r="F42" i="15"/>
  <c r="F13" i="72"/>
  <c r="M29" i="15"/>
  <c r="I4" i="65"/>
  <c r="F8" i="15"/>
  <c r="F38" i="72"/>
  <c r="F40" i="72"/>
  <c r="E10" i="67"/>
  <c r="G27" i="12" l="1"/>
  <c r="D24" i="44"/>
  <c r="G28" i="12"/>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AB32" i="21"/>
  <c r="U39" i="21"/>
  <c r="S42" i="21"/>
  <c r="AB36" i="21"/>
  <c r="AB34" i="21"/>
  <c r="AC33" i="21"/>
  <c r="W32"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3" i="39"/>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C10" i="12"/>
  <c r="G3" i="46"/>
  <c r="B21" i="63"/>
  <c r="L16" i="4"/>
  <c r="N16" i="4"/>
  <c r="K17" i="4" s="1"/>
  <c r="A22" i="51" s="1"/>
  <c r="B16" i="63" s="1"/>
  <c r="E32" i="6"/>
  <c r="L21" i="6" s="1"/>
  <c r="E30" i="6"/>
  <c r="K14" i="1"/>
  <c r="M14" i="1" s="1"/>
  <c r="O14" i="1" s="1"/>
  <c r="G13" i="3"/>
  <c r="E8" i="6"/>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6" i="72"/>
  <c r="C18" i="44"/>
  <c r="E3" i="65"/>
  <c r="AB42" i="21" l="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E103"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4" i="46"/>
  <c r="K106" i="46"/>
  <c r="L102" i="46"/>
  <c r="L104" i="46"/>
  <c r="L109" i="46"/>
  <c r="L107" i="46"/>
  <c r="L106" i="46"/>
  <c r="L105" i="46"/>
  <c r="L103" i="46"/>
  <c r="G106" i="46"/>
  <c r="G103" i="46"/>
  <c r="N105" i="46"/>
  <c r="N104" i="46"/>
  <c r="N109" i="46"/>
  <c r="N103" i="46"/>
  <c r="N107" i="46"/>
  <c r="N102" i="46"/>
  <c r="N106" i="46"/>
  <c r="D109"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10" i="1"/>
  <c r="AE9" i="1"/>
  <c r="N16" i="1" l="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T2" i="46" s="1"/>
  <c r="V2" i="4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72"/>
  <c r="F41" i="15"/>
  <c r="B14" i="66" l="1"/>
  <c r="B1" i="66" s="1"/>
  <c r="C106" i="9"/>
  <c r="C107" i="9" s="1"/>
  <c r="C105" i="9" s="1"/>
  <c r="C110" i="9"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F7" i="67"/>
  <c r="C19" i="44"/>
  <c r="C17" i="72"/>
  <c r="C17" i="15"/>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10" i="1" s="1"/>
  <c r="R25" i="6"/>
  <c r="R20" i="6"/>
  <c r="D7" i="66"/>
  <c r="D8" i="66"/>
  <c r="R26" i="6"/>
  <c r="A6" i="64"/>
  <c r="A20" i="64"/>
  <c r="A6" i="51"/>
  <c r="B7" i="63" s="1"/>
  <c r="A20" i="51"/>
  <c r="B15" i="63" s="1"/>
  <c r="N5" i="54"/>
  <c r="B43" i="63" s="1"/>
  <c r="R22" i="6"/>
  <c r="R21" i="6"/>
  <c r="E4" i="67"/>
  <c r="D77" i="9"/>
  <c r="N75" i="9" s="1"/>
  <c r="F35" i="72"/>
  <c r="M21" i="72"/>
  <c r="B7" i="67"/>
  <c r="E7" i="67"/>
  <c r="J20" i="72" l="1"/>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F37" i="44"/>
  <c r="C16" i="44"/>
  <c r="C14" i="72"/>
  <c r="C14" i="15"/>
  <c r="M23"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D8" i="12" s="1"/>
  <c r="D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M21" i="15"/>
  <c r="F35"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F10" i="12"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G8" i="12" s="1"/>
  <c r="B3" i="15"/>
  <c r="F8" i="12" s="1"/>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19" i="9"/>
  <c r="C20" i="9"/>
  <c r="B4" i="39" l="1"/>
  <c r="B5" i="39"/>
  <c r="L43" i="9"/>
  <c r="C31" i="12"/>
  <c r="C30" i="12" s="1"/>
  <c r="C36" i="12" s="1"/>
  <c r="B2" i="12" s="1"/>
  <c r="B3" i="40"/>
  <c r="B5" i="40"/>
  <c r="B4" i="40"/>
  <c r="D19" i="9"/>
  <c r="C21" i="9"/>
  <c r="L44" i="9" l="1"/>
  <c r="D22" i="9"/>
  <c r="G19" i="9"/>
  <c r="K20" i="9" s="1"/>
  <c r="B3" i="12"/>
  <c r="B4" i="12"/>
  <c r="B5" i="12"/>
  <c r="D21" i="9"/>
  <c r="D20"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<sst xmlns="http://schemas.openxmlformats.org/spreadsheetml/2006/main" count="9931" uniqueCount="3758">
  <si>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</si>
  <si>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</si>
  <si>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</si>
  <si>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</si>
  <si>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</si>
  <si>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</si>
  <si>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</si>
  <si>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</si>
  <si>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</si>
  <si>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</si>
  <si>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</si>
  <si>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</si>
  <si>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</si>
  <si>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</si>
  <si>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</si>
  <si>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</si>
  <si>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</si>
  <si>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</si>
  <si>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</si>
  <si>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</si>
  <si>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</si>
  <si>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</si>
  <si>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</si>
  <si>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</si>
  <si>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</si>
  <si>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</si>
  <si>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</si>
  <si>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</si>
  <si>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</si>
  <si>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</si>
  <si>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</si>
  <si>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</si>
  <si>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</si>
  <si>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</si>
  <si>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</si>
  <si>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</si>
  <si>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</si>
  <si>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</si>
  <si>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</si>
  <si>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</si>
  <si>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</si>
  <si>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</si>
  <si>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</si>
  <si>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</si>
  <si>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</si>
  <si>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</si>
  <si>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</si>
  <si>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</si>
  <si>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</si>
  <si>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</si>
  <si>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</si>
  <si>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</si>
  <si>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</si>
  <si>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</si>
  <si>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</si>
  <si>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</si>
  <si>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</si>
  <si>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</si>
  <si>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</si>
  <si>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</si>
  <si>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</si>
  <si>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</si>
  <si>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</si>
  <si>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</si>
  <si>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</si>
  <si>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</si>
  <si>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</si>
  <si>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</si>
  <si>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</si>
  <si>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</si>
  <si>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</si>
  <si>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</si>
  <si>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</si>
  <si>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</si>
  <si>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</si>
  <si>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</si>
  <si>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</si>
  <si>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</si>
  <si>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</si>
  <si>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</si>
  <si>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</si>
  <si>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</si>
  <si>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</si>
  <si>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</si>
  <si>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</si>
  <si>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</si>
  <si>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</si>
  <si>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</si>
  <si>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</si>
  <si>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</si>
  <si>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</si>
  <si>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</si>
  <si>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</si>
  <si>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</si>
  <si>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</si>
  <si>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</si>
  <si>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</si>
  <si>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</si>
  <si>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</si>
  <si>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</si>
  <si>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</si>
  <si>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</si>
  <si>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</si>
  <si>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</si>
  <si>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</si>
  <si>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</si>
  <si>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</si>
  <si>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</si>
  <si>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</si>
  <si>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</si>
  <si>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</si>
  <si>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</si>
  <si>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</si>
  <si>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</si>
  <si>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</si>
  <si>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</si>
  <si>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</si>
  <si>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</si>
  <si>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</si>
  <si>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</si>
  <si>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</si>
  <si>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</si>
  <si>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</si>
  <si>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</si>
  <si>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</si>
  <si>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</si>
  <si>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</si>
  <si>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</si>
  <si>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</si>
  <si>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</si>
  <si>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</si>
  <si>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</si>
  <si>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</si>
  <si>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</si>
  <si>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</si>
  <si>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</si>
  <si>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</si>
  <si>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</si>
  <si>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</si>
  <si>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</si>
  <si>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</si>
  <si>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</si>
  <si>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</si>
  <si>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</si>
  <si>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</si>
  <si>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</si>
  <si>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</si>
  <si>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</si>
  <si>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</si>
  <si>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</si>
  <si>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</si>
  <si>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</si>
  <si>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</si>
  <si>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</si>
  <si>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</si>
  <si>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</si>
  <si>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</si>
  <si>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</si>
  <si>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</si>
  <si>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</si>
  <si>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</si>
  <si>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</si>
  <si>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</si>
  <si>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</si>
  <si>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</si>
  <si>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</si>
  <si>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</si>
  <si>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</si>
  <si>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</si>
  <si>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</si>
  <si>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</si>
  <si>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</si>
  <si>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</si>
  <si>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</si>
  <si>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</si>
  <si>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</si>
  <si>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</si>
  <si>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</si>
  <si>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</si>
  <si>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</si>
  <si>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</si>
  <si>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</si>
  <si>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</si>
  <si>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</si>
  <si>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</si>
  <si>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</si>
  <si>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</si>
  <si>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</si>
  <si>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</si>
  <si>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</si>
  <si>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</si>
  <si>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</si>
  <si>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</si>
  <si>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</si>
  <si>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</si>
  <si>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</si>
  <si>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</si>
  <si>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</si>
  <si>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</si>
  <si>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</si>
  <si>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</si>
  <si>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</si>
  <si>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</si>
  <si>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</si>
  <si>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</si>
  <si>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</si>
  <si>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</si>
  <si>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</si>
  <si>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</si>
  <si>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</si>
  <si>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</si>
  <si>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</si>
  <si>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</si>
  <si>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</si>
  <si>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</si>
  <si>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</si>
  <si>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</si>
  <si>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</si>
  <si>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</si>
  <si>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</si>
  <si>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</si>
  <si>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</si>
  <si>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</si>
  <si>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</si>
  <si>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</si>
  <si>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</si>
  <si>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</si>
  <si>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</si>
  <si>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</si>
  <si>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</si>
  <si>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</si>
  <si>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</si>
  <si>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</si>
  <si>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</si>
  <si>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</si>
  <si>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</si>
  <si>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</si>
  <si>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</si>
  <si>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</si>
  <si>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</si>
  <si>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</si>
  <si>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</si>
  <si>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</si>
  <si>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</si>
  <si>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</si>
  <si>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</si>
  <si>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</si>
  <si>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</si>
  <si>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</si>
  <si>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</si>
  <si>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</si>
  <si>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</si>
  <si>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</si>
  <si>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</si>
  <si>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</si>
  <si>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</si>
  <si>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</si>
  <si>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</si>
  <si>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</si>
  <si>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</si>
  <si>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</si>
  <si>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</si>
  <si>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</si>
  <si>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</si>
  <si>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</si>
  <si>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</si>
  <si>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</si>
  <si>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</si>
  <si>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</si>
  <si>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</si>
  <si>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</si>
  <si>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</si>
  <si>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</si>
  <si>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</si>
  <si>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</si>
  <si>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</si>
  <si>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</si>
  <si>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</si>
  <si>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</si>
  <si>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</si>
  <si>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</si>
  <si>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</si>
  <si>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</si>
  <si>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</si>
  <si>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</si>
  <si>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</si>
  <si>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</si>
  <si>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</si>
  <si>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</si>
  <si>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</si>
  <si>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</si>
  <si>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</si>
  <si>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</si>
  <si>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</si>
  <si>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</si>
  <si>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</si>
  <si>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</si>
  <si>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</si>
  <si>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</si>
  <si>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</si>
  <si>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</si>
  <si>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</si>
  <si>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</si>
  <si>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</si>
  <si>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</si>
  <si>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</si>
  <si>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</si>
  <si>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</si>
  <si>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</si>
  <si>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</si>
  <si>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</si>
  <si>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</si>
  <si>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</si>
  <si>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</si>
  <si>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</si>
  <si>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</si>
  <si>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</si>
  <si>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</si>
  <si>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</si>
  <si>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</si>
  <si>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</si>
  <si>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</si>
  <si>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</si>
  <si>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</si>
  <si>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</si>
  <si>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</si>
  <si>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</si>
  <si>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</si>
  <si>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</si>
  <si>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</si>
  <si>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</si>
  <si>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</si>
  <si>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</si>
  <si>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</si>
  <si>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</si>
  <si>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</si>
  <si>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</si>
  <si>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</si>
  <si>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</si>
  <si>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</si>
  <si>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</si>
  <si>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</si>
  <si>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</si>
  <si>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</si>
  <si>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</si>
  <si>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</si>
  <si>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</si>
  <si>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</si>
  <si>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</si>
  <si>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</si>
  <si>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</si>
  <si>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</si>
  <si>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</si>
  <si>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</si>
  <si>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</si>
  <si>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</si>
  <si>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</si>
  <si>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</si>
  <si>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</si>
  <si>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</si>
  <si>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</si>
  <si>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</si>
  <si>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</si>
  <si>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</si>
  <si>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</si>
  <si>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</si>
  <si>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</si>
  <si>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</si>
  <si>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</si>
  <si>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</si>
  <si>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</si>
  <si>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</si>
  <si>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</si>
  <si>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</si>
  <si>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</si>
  <si>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</si>
  <si>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</si>
  <si>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</si>
  <si>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</si>
  <si>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</si>
  <si>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</si>
  <si>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</si>
  <si>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</si>
  <si>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</si>
  <si>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</si>
  <si>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</si>
  <si>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</si>
  <si>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</si>
  <si>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</si>
  <si>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</si>
  <si>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</si>
  <si>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</si>
  <si>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</si>
  <si>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</si>
  <si>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</si>
  <si>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</si>
  <si>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</si>
  <si>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</si>
  <si>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</si>
  <si>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</si>
  <si>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</si>
  <si>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</si>
  <si>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</si>
  <si>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</si>
  <si>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</si>
  <si>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</si>
  <si>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</si>
  <si>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</si>
  <si>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</si>
  <si>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</si>
  <si>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</si>
  <si>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</si>
  <si>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</si>
  <si>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</si>
  <si>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</si>
  <si>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</si>
  <si>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</si>
  <si>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</si>
  <si>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</si>
  <si>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</si>
  <si>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</si>
  <si>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</si>
  <si>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</si>
  <si>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</si>
  <si>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</si>
  <si>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</si>
  <si>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</si>
  <si>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</si>
  <si>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</si>
  <si>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</si>
  <si>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</si>
  <si>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</si>
  <si>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</si>
  <si>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</si>
  <si>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</si>
  <si>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</si>
  <si>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</si>
  <si>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</si>
  <si>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</si>
  <si>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</si>
  <si>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</si>
  <si>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</si>
  <si>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</si>
  <si>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</si>
  <si>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</si>
  <si>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</si>
  <si>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</si>
  <si>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</si>
  <si>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</si>
  <si>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</si>
  <si>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</si>
  <si>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</si>
  <si>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</si>
  <si>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</si>
  <si>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</si>
  <si>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</si>
  <si>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</si>
  <si>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</si>
  <si>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</si>
  <si>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</si>
  <si>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</si>
  <si>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</si>
  <si>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</si>
  <si>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</si>
  <si>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</si>
  <si>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</si>
  <si>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</si>
  <si>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</si>
  <si>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</si>
  <si>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</si>
  <si>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</si>
  <si>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</si>
  <si>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</si>
  <si>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</si>
  <si>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</si>
  <si>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</si>
  <si>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</si>
  <si>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</si>
  <si>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</si>
  <si>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</si>
  <si>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</si>
  <si>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</si>
  <si>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</si>
  <si>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</si>
  <si>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</si>
  <si>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</si>
  <si>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</si>
  <si>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</si>
  <si>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</si>
  <si>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</si>
  <si>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</si>
  <si>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</si>
  <si>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</si>
  <si>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</si>
  <si>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</si>
  <si>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</si>
  <si>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</si>
  <si>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</si>
  <si>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</si>
  <si>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</si>
  <si>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</si>
  <si>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</si>
  <si>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</si>
  <si>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</si>
  <si>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</si>
  <si>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</si>
  <si>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</si>
  <si>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</si>
  <si>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</si>
  <si>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</si>
  <si>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</si>
  <si>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</si>
  <si>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</si>
  <si>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</si>
  <si>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</si>
  <si>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</si>
  <si>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</si>
  <si>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</si>
  <si>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</si>
  <si>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</si>
  <si>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</si>
  <si>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</si>
  <si>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</si>
  <si>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</si>
  <si>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</si>
  <si>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</si>
  <si>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</si>
  <si>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</si>
  <si>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</si>
  <si>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</si>
  <si>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</si>
  <si>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</si>
  <si>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</si>
  <si>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</si>
  <si>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</si>
  <si>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</si>
  <si>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</si>
  <si>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</si>
  <si>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</si>
  <si>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</si>
  <si>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</si>
  <si>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</si>
  <si>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</si>
  <si>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</si>
  <si>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</si>
  <si>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</si>
  <si>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</si>
  <si>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</si>
  <si>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</si>
  <si>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</si>
  <si>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</si>
  <si>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</si>
  <si>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</si>
  <si>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</si>
  <si>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</si>
  <si>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</si>
  <si>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</si>
  <si>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</si>
  <si>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</si>
  <si>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</si>
  <si>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</si>
  <si>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</si>
  <si>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</si>
  <si>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</si>
  <si>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</si>
  <si>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</si>
  <si>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</si>
  <si>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</si>
  <si>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</si>
  <si>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</si>
  <si>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</si>
  <si>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</si>
  <si>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</si>
  <si>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</si>
  <si>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</si>
  <si>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</si>
  <si>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</si>
  <si>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</si>
  <si>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</si>
  <si>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</si>
  <si>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</si>
  <si>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</si>
  <si>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</si>
  <si>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</si>
  <si>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</si>
  <si>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</si>
  <si>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</si>
  <si>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</si>
  <si>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</si>
  <si>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</si>
  <si>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</si>
  <si>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</si>
  <si>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</si>
  <si>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</si>
  <si>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</si>
  <si>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</si>
  <si>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</si>
  <si>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</si>
  <si>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</si>
  <si>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</si>
  <si>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</si>
  <si>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</si>
  <si>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</si>
  <si>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</si>
  <si>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</si>
  <si>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</si>
  <si>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</si>
  <si>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</si>
  <si>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</si>
  <si>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</si>
  <si>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</si>
  <si>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</si>
  <si>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</si>
  <si>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</si>
  <si>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</si>
  <si>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</si>
  <si>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</si>
  <si>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</si>
  <si>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</si>
  <si>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</si>
  <si>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</si>
  <si>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</si>
  <si>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</si>
  <si>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</si>
  <si>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</si>
  <si>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</si>
  <si>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</si>
  <si>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</si>
  <si>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</si>
  <si>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</si>
  <si>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</si>
  <si>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</si>
  <si>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</si>
  <si>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</si>
  <si>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</si>
  <si>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</si>
  <si>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</si>
  <si>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</si>
  <si>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</si>
  <si>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</si>
  <si>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</si>
  <si>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</si>
  <si>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</si>
  <si>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</si>
  <si>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</si>
  <si>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</si>
  <si>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</si>
  <si>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</si>
  <si>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</si>
  <si>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</si>
  <si>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</si>
  <si>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</si>
  <si>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</si>
  <si>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</si>
  <si>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</si>
  <si>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</si>
  <si>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</si>
  <si>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</si>
  <si>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</si>
  <si>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</si>
  <si>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</si>
  <si>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</si>
  <si>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</si>
  <si>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</si>
  <si>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</si>
  <si>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</si>
  <si>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</si>
  <si>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</si>
  <si>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</si>
  <si>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</si>
  <si>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</si>
  <si>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</si>
  <si>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</si>
  <si>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</si>
  <si>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</si>
  <si>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</si>
  <si>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</si>
  <si>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</si>
  <si>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</si>
  <si>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</si>
  <si>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</si>
  <si>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</si>
  <si>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</si>
  <si>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</si>
  <si>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</si>
  <si>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</si>
  <si>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</si>
  <si>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</si>
  <si>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</si>
  <si>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</si>
  <si>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</si>
  <si>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</si>
  <si>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</si>
  <si>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</si>
  <si>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</si>
  <si>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</si>
  <si>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</si>
  <si>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</si>
  <si>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</si>
  <si>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</si>
  <si>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</si>
  <si>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</si>
  <si>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</si>
  <si>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</si>
  <si>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</si>
  <si>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</si>
  <si>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</si>
  <si>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</si>
  <si>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</si>
  <si>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</si>
  <si>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</si>
  <si>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</si>
  <si>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</si>
  <si>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</si>
  <si>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</si>
  <si>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</si>
  <si>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</si>
  <si>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</si>
  <si>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</si>
  <si>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</si>
  <si>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</si>
  <si>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</si>
  <si>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</si>
  <si>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</si>
  <si>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</si>
  <si>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</si>
  <si>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</si>
  <si>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</si>
  <si>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</si>
  <si>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</si>
  <si>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</si>
  <si>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</si>
  <si>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</si>
  <si>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</si>
  <si>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</si>
  <si>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</si>
  <si>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</si>
  <si>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</si>
  <si>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</si>
  <si>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</si>
  <si>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</si>
  <si>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</si>
  <si>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</si>
  <si>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</si>
  <si>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</si>
  <si>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</si>
  <si>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</si>
  <si>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</si>
  <si>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</si>
  <si>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</si>
  <si>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</si>
  <si>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</si>
  <si>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</si>
  <si>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</si>
  <si>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</si>
  <si>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</si>
  <si>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</si>
  <si>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</si>
  <si>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</si>
  <si>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</si>
  <si>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</si>
  <si>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</si>
  <si>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</si>
  <si>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</si>
  <si>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</si>
  <si>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</si>
  <si>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</si>
  <si>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</si>
  <si>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</si>
  <si>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</si>
  <si>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</si>
  <si>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</si>
  <si>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</si>
  <si>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</si>
  <si>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</si>
  <si>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</si>
  <si>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</si>
  <si>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</si>
  <si>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</si>
  <si>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</si>
  <si>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</si>
  <si>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</si>
  <si>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</si>
  <si>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</si>
  <si>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</si>
  <si>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</si>
  <si>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</si>
  <si>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</si>
  <si>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</si>
  <si>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</si>
  <si>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</si>
  <si>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</si>
  <si>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</si>
  <si>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</si>
  <si>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</si>
  <si>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</si>
  <si>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</si>
  <si>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</si>
  <si>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</si>
  <si>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</si>
  <si>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</si>
  <si>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</si>
  <si>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</si>
  <si>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</si>
  <si>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</si>
  <si>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</si>
  <si>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</si>
  <si>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</si>
  <si>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</si>
  <si>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</si>
  <si>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</si>
  <si>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</si>
  <si>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</si>
  <si>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</si>
  <si>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</si>
  <si>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</si>
  <si>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</si>
  <si>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</si>
  <si>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</si>
  <si>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</si>
  <si>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</si>
  <si>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</si>
  <si>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</si>
  <si>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</si>
  <si>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</si>
  <si>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</si>
  <si>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</si>
  <si>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</si>
  <si>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</si>
  <si>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</si>
  <si>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</si>
  <si>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</si>
  <si>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</si>
  <si>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</si>
  <si>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</si>
  <si>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</si>
  <si>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</si>
  <si>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</si>
  <si>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</si>
  <si>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</si>
  <si>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</si>
  <si>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</si>
  <si>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</si>
  <si>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</si>
  <si>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</si>
  <si>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</si>
  <si>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</si>
  <si>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</si>
  <si>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</si>
  <si>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</si>
  <si>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</si>
  <si>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</si>
  <si>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</si>
  <si>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</si>
  <si>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</si>
  <si>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</si>
  <si>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</si>
  <si>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</si>
  <si>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</si>
  <si>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</si>
  <si>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</si>
  <si>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</si>
  <si>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</si>
  <si>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</si>
  <si>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</si>
  <si>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</si>
  <si>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</si>
  <si>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</si>
  <si>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</si>
  <si>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</si>
  <si>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</si>
  <si>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</si>
  <si>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</si>
  <si>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</si>
  <si>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</si>
  <si>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</si>
  <si>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</si>
  <si>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</si>
  <si>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</si>
  <si>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</si>
  <si>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</si>
  <si>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</si>
  <si>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</si>
  <si>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</si>
  <si>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</si>
  <si>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</si>
  <si>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</si>
  <si>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</si>
  <si>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</si>
  <si>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</si>
  <si>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</si>
  <si>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</si>
  <si>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</si>
  <si>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</si>
  <si>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</si>
  <si>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</si>
  <si>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</si>
  <si>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</si>
  <si>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</si>
  <si>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</si>
  <si>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</si>
  <si>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</si>
  <si>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</si>
  <si>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</si>
  <si>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</si>
  <si>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</si>
  <si>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</si>
  <si>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</si>
  <si>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</si>
  <si>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</si>
  <si>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</si>
  <si>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</si>
  <si>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</si>
  <si>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</si>
  <si>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</si>
  <si>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</si>
  <si>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</si>
  <si>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</si>
  <si>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</si>
  <si>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</si>
  <si>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</si>
  <si>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</si>
  <si>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</si>
  <si>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</si>
  <si>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</si>
  <si>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</si>
  <si>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</si>
  <si>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</si>
  <si>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</si>
  <si>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</si>
  <si>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</si>
  <si>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</si>
  <si>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</si>
  <si>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</si>
  <si>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</si>
  <si>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</si>
  <si>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</si>
  <si>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</si>
  <si>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</si>
  <si>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</si>
  <si>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</si>
  <si>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</si>
  <si>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</si>
  <si>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</si>
  <si>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</si>
  <si>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</si>
  <si>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</si>
  <si>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</si>
  <si>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</si>
  <si>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</si>
  <si>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</si>
  <si>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</si>
  <si>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</si>
  <si>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</si>
  <si>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</si>
  <si>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</si>
  <si>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</si>
  <si>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</si>
  <si>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</si>
  <si>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</si>
  <si>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</si>
  <si>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</si>
  <si>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</si>
  <si>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</si>
  <si>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</si>
  <si>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</si>
  <si>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</si>
  <si>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</si>
  <si>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</si>
  <si>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</si>
  <si>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</si>
  <si>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</si>
  <si>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</si>
  <si>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</si>
  <si>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</si>
  <si>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</si>
  <si>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</si>
  <si>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</si>
  <si>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</si>
  <si>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</si>
  <si>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</si>
  <si>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</si>
  <si>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</si>
  <si>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</si>
  <si>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</si>
  <si>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</si>
  <si>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</si>
  <si>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</si>
  <si>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</si>
  <si>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</si>
  <si>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</si>
  <si>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</si>
  <si>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</si>
  <si>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</si>
  <si>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</si>
  <si>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</si>
  <si>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</si>
  <si>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</si>
  <si>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</si>
  <si>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</si>
  <si>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</si>
  <si>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</si>
  <si>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</si>
  <si>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</si>
  <si>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</si>
  <si>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</si>
  <si>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</si>
  <si>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</si>
  <si>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</si>
  <si>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</si>
  <si>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</si>
  <si>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</si>
  <si>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</si>
  <si>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</si>
  <si>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</si>
  <si>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</si>
  <si>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</si>
  <si>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</si>
  <si>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</si>
  <si>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</si>
  <si>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</si>
  <si>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</si>
  <si>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</si>
  <si>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</si>
  <si>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</si>
  <si>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</si>
  <si>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</si>
  <si>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</si>
  <si>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</si>
  <si>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</si>
  <si>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</si>
  <si>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</si>
  <si>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</si>
  <si>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</si>
  <si>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</si>
  <si>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</si>
  <si>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</si>
  <si>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</si>
  <si>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</si>
  <si>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</si>
  <si>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</si>
  <si>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</si>
  <si>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</si>
  <si>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</si>
  <si>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</si>
  <si>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</si>
  <si>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</si>
  <si>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</si>
  <si>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</si>
  <si>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</si>
  <si>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</si>
  <si>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</si>
  <si>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</si>
  <si>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</si>
  <si>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</si>
  <si>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</si>
  <si>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</si>
  <si>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</si>
  <si>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</si>
  <si>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</si>
  <si>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</si>
  <si>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</si>
  <si>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</si>
  <si>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</si>
  <si>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</si>
  <si>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</si>
  <si>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</si>
  <si>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</si>
  <si>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</si>
  <si>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</si>
  <si>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</si>
  <si>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</si>
  <si>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</si>
  <si>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</si>
  <si>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</si>
  <si>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</si>
  <si>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</si>
  <si>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</si>
  <si>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</si>
  <si>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</si>
  <si>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</si>
  <si>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</si>
  <si>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</si>
  <si>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</si>
  <si>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</si>
  <si>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</si>
  <si>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</si>
  <si>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</si>
  <si>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</si>
  <si>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</si>
  <si>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</si>
  <si>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</si>
  <si>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</si>
  <si>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</si>
  <si>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</si>
  <si>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</si>
  <si>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</si>
  <si>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</si>
  <si>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</si>
  <si>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</si>
  <si>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</si>
  <si>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</si>
  <si>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</si>
  <si>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</si>
  <si>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</si>
  <si>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</si>
  <si>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</si>
  <si>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</si>
  <si>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</si>
  <si>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</si>
  <si>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</si>
  <si>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</si>
  <si>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</si>
  <si>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</si>
  <si>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</si>
  <si>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</si>
  <si>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</si>
  <si>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</si>
  <si>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</si>
  <si>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</si>
  <si>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</si>
  <si>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</si>
  <si>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</si>
  <si>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</si>
  <si>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</si>
  <si>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</si>
  <si>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</si>
  <si>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</si>
  <si>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</si>
  <si>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</si>
  <si>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</si>
  <si>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</si>
  <si>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</si>
  <si>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</si>
  <si>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</si>
  <si>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</si>
  <si>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</si>
  <si>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</si>
  <si>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</si>
  <si>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</si>
  <si>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</si>
  <si>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</si>
  <si>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</si>
  <si>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</si>
  <si>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</si>
  <si>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</si>
  <si>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</si>
  <si>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</si>
  <si>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</si>
  <si>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</si>
  <si>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</si>
  <si>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</si>
  <si>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</si>
  <si>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</si>
  <si>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</si>
  <si>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</si>
  <si>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</si>
  <si>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</si>
  <si>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</si>
  <si>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</si>
  <si>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</si>
  <si>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</si>
  <si>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</si>
  <si>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</si>
  <si>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</si>
  <si>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</si>
  <si>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</si>
  <si>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</si>
  <si>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</si>
  <si>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</si>
  <si>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</si>
  <si>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</si>
  <si>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</si>
  <si>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</si>
  <si>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</si>
  <si>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</si>
  <si>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</si>
  <si>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</si>
  <si>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</si>
  <si>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</si>
  <si>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</si>
  <si>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</si>
  <si>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</si>
  <si>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</si>
  <si>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</si>
  <si>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</si>
  <si>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</si>
  <si>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</si>
  <si>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</si>
  <si>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</si>
  <si>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</si>
  <si>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</si>
  <si>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</si>
  <si>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</si>
  <si>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</si>
  <si>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</si>
  <si>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</si>
  <si>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</si>
  <si>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</si>
  <si>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</si>
  <si>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</si>
  <si>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</si>
  <si>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</si>
  <si>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</si>
  <si>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</si>
  <si>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</si>
  <si>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</si>
  <si>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</si>
  <si>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</si>
  <si>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</si>
  <si>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</si>
  <si>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</si>
  <si>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</si>
  <si>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</si>
  <si>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</si>
  <si>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</si>
  <si>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</si>
  <si>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</si>
  <si>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</si>
  <si>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</si>
  <si>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</si>
  <si>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</si>
  <si>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</si>
  <si>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</si>
  <si>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</si>
  <si>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</si>
  <si>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</si>
  <si>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</si>
  <si>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</si>
  <si>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</si>
  <si>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</si>
  <si>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</si>
  <si>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</si>
  <si>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</si>
  <si>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</si>
  <si>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</si>
  <si>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</si>
  <si>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</si>
  <si>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</si>
  <si>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</si>
  <si>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</si>
  <si>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</si>
  <si>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</si>
  <si>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</si>
  <si>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</si>
  <si>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</si>
  <si>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</si>
  <si>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</si>
  <si>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</si>
  <si>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</si>
  <si>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</si>
  <si>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</si>
  <si>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</si>
  <si>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</si>
  <si>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</si>
  <si>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</si>
  <si>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</si>
  <si>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</si>
  <si>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</si>
  <si>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</si>
  <si>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</si>
  <si>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</si>
  <si>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</si>
  <si>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</si>
  <si>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</si>
  <si>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</si>
  <si>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</si>
  <si>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</si>
  <si>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</si>
  <si>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</si>
  <si>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</si>
  <si>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</si>
  <si>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</si>
  <si>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</si>
  <si>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</si>
  <si>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</si>
  <si>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</si>
  <si>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</si>
  <si>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</si>
  <si>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</si>
  <si>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</si>
  <si>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</si>
  <si>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</si>
  <si>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</si>
  <si>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</si>
  <si>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</si>
  <si>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</si>
  <si>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</si>
  <si>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</si>
  <si>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</si>
  <si>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</si>
  <si>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</si>
  <si>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</si>
  <si>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</si>
  <si>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</si>
  <si>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</si>
  <si>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</si>
  <si>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</si>
  <si>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</si>
  <si>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</si>
  <si>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</si>
  <si>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</si>
  <si>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</si>
  <si>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</si>
  <si>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</si>
  <si>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</si>
  <si>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</si>
  <si>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</si>
  <si>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</si>
  <si>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</si>
  <si>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</si>
  <si>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</si>
  <si>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</si>
  <si>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</si>
  <si>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</si>
  <si>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</si>
  <si>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</si>
  <si>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</si>
  <si>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</si>
  <si>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</si>
  <si>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</si>
  <si>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</si>
  <si>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</si>
  <si>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</si>
  <si>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</si>
  <si>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</si>
  <si>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</si>
  <si>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</si>
  <si>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</si>
  <si>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</si>
  <si>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</si>
  <si>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</si>
  <si>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</si>
  <si>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</si>
  <si>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</si>
  <si>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</si>
  <si>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</si>
  <si>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</si>
  <si>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</si>
  <si>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</si>
  <si>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</si>
  <si>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</si>
  <si>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</si>
  <si>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</si>
  <si>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</si>
  <si>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</si>
  <si>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</si>
  <si>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</si>
  <si>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</si>
  <si>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</si>
  <si>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</si>
  <si>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</si>
  <si>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</si>
  <si>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</si>
  <si>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</si>
  <si>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</si>
  <si>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</si>
  <si>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</si>
  <si>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</si>
  <si>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</si>
  <si>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</si>
  <si>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</si>
  <si>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</si>
  <si>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</si>
  <si>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</si>
  <si>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</si>
  <si>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</si>
  <si>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</si>
  <si>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</si>
  <si>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</si>
  <si>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</si>
  <si>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</si>
  <si>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</si>
  <si>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</si>
  <si>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</si>
  <si>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</si>
  <si>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</si>
  <si>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</si>
  <si>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</si>
  <si>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</si>
  <si>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</si>
  <si>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</si>
  <si>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</si>
  <si>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</si>
  <si>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</si>
  <si>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</si>
  <si>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</si>
  <si>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</si>
  <si>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</si>
  <si>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</si>
  <si>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</si>
  <si>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</si>
  <si>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</si>
  <si>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</si>
  <si>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</si>
  <si>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</si>
  <si>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</si>
  <si>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</si>
  <si>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</si>
  <si>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</si>
  <si>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</si>
  <si>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</si>
  <si>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</si>
  <si>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</si>
  <si>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</si>
  <si>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</si>
  <si>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</si>
  <si>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</si>
  <si>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</si>
  <si>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</si>
  <si>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</si>
  <si>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</si>
  <si>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</si>
  <si>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</si>
  <si>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</si>
  <si>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</si>
  <si>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</si>
  <si>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</si>
  <si>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</si>
  <si>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</si>
  <si>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</si>
  <si>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</si>
  <si>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</si>
  <si>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</si>
  <si>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</si>
  <si>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</si>
  <si>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</si>
  <si>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</si>
  <si>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</si>
  <si>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</si>
  <si>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</si>
  <si>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</si>
  <si>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</si>
  <si>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</si>
  <si>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</si>
  <si>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</si>
  <si>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</si>
  <si>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</si>
  <si>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</si>
  <si>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</si>
  <si>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</si>
  <si>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</si>
  <si>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</si>
  <si>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</si>
  <si>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</si>
  <si>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</si>
  <si>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</si>
  <si>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</si>
  <si>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</si>
  <si>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</si>
  <si>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</si>
  <si>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</si>
  <si>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</si>
  <si>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</si>
  <si>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</si>
  <si>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</si>
  <si>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</si>
  <si>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</si>
  <si>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</si>
  <si>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</si>
  <si>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</si>
  <si>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</si>
  <si>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</si>
  <si>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</si>
  <si>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</si>
  <si>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</si>
  <si>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</si>
  <si>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</si>
  <si>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</si>
  <si>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</si>
  <si>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</si>
  <si>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</si>
  <si>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</si>
  <si>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</si>
  <si>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</si>
  <si>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</si>
  <si>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</si>
  <si>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</si>
  <si>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</si>
  <si>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</si>
  <si>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</si>
  <si>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</si>
  <si>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</si>
  <si>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</si>
  <si>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</si>
  <si>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</si>
  <si>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</si>
  <si>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</si>
  <si>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</si>
  <si>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</si>
  <si>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</si>
  <si>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</si>
  <si>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</si>
  <si>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</si>
  <si>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</si>
  <si>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</si>
  <si>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</si>
  <si>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</si>
  <si>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</si>
  <si>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</si>
  <si>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</si>
  <si>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</si>
  <si>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</si>
  <si>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</si>
  <si>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</si>
  <si>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</si>
  <si>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</si>
  <si>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</si>
  <si>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</si>
  <si>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</si>
  <si>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</si>
  <si>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</si>
  <si>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</si>
  <si>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</si>
  <si>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</si>
  <si>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</si>
  <si>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</si>
  <si>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</si>
  <si>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</si>
  <si>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</si>
  <si>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</si>
  <si>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</si>
  <si>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</si>
  <si>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</si>
  <si>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</si>
  <si>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</si>
  <si>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</si>
  <si>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</si>
  <si>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</si>
  <si>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</si>
  <si>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</si>
  <si>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</si>
  <si>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</si>
  <si>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</si>
  <si>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</si>
  <si>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</si>
  <si>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</si>
  <si>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</si>
  <si>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</si>
  <si>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</si>
  <si>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</si>
  <si>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</si>
  <si>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</si>
  <si>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</si>
  <si>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</si>
  <si>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</si>
  <si>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</si>
  <si>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</si>
  <si>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</si>
  <si>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</si>
  <si>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</si>
  <si>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</si>
  <si>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</si>
  <si>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</si>
  <si>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</si>
  <si>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</si>
  <si>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</si>
  <si>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</si>
  <si>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</si>
  <si>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</si>
  <si>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</si>
  <si>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</si>
  <si>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</si>
  <si>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</si>
  <si>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</si>
  <si>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</si>
  <si>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</si>
  <si>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</si>
  <si>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</si>
  <si>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</si>
  <si>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</si>
  <si>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</si>
  <si>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</si>
  <si>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</si>
  <si>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</si>
  <si>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</si>
  <si>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</si>
  <si>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</si>
  <si>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</si>
  <si>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</si>
  <si>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</si>
  <si>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</si>
  <si>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</si>
  <si>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</si>
  <si>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</si>
  <si>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</si>
  <si>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</si>
  <si>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</si>
  <si>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</si>
  <si>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</si>
  <si>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</si>
  <si>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</si>
  <si>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</si>
  <si>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</si>
  <si>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</si>
  <si>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</si>
  <si>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</si>
  <si>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</si>
  <si>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</si>
  <si>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</si>
  <si>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</si>
  <si>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</si>
  <si>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</si>
  <si>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</si>
  <si>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</si>
  <si>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</si>
  <si>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</si>
  <si>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</si>
  <si>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</si>
  <si>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</si>
  <si>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</si>
  <si>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</si>
  <si>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</si>
  <si>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</si>
  <si>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</si>
  <si>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</si>
  <si>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</si>
  <si>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</si>
  <si>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</si>
  <si>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</si>
  <si>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</si>
  <si>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</si>
  <si>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</si>
  <si>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</si>
  <si>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</si>
  <si>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</si>
  <si>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</si>
  <si>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</si>
  <si>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</si>
  <si>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</si>
  <si>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</si>
  <si>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</si>
  <si>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</si>
  <si>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</si>
  <si>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</si>
  <si>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</si>
  <si>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</si>
  <si>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</si>
  <si>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</si>
  <si>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</si>
  <si>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</si>
  <si>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</si>
  <si>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</si>
  <si>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</si>
  <si>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</si>
  <si>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</si>
  <si>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</si>
  <si>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</si>
  <si>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</si>
  <si>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</si>
  <si>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</si>
  <si>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</si>
  <si>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</si>
  <si>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</si>
  <si>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</si>
  <si>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</si>
  <si>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</si>
  <si>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</si>
  <si>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</si>
  <si>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</si>
  <si>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</si>
  <si>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</si>
  <si>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</si>
  <si>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</si>
  <si>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</si>
  <si>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</si>
  <si>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</si>
  <si>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</si>
  <si>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</si>
  <si>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</si>
  <si>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</si>
  <si>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</si>
  <si>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</si>
  <si>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</si>
  <si>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</si>
  <si>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</si>
  <si>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</si>
  <si>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</si>
  <si>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</si>
  <si>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</si>
  <si>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</si>
  <si>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</si>
  <si>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</si>
  <si>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</si>
  <si>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</si>
  <si>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</si>
  <si>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</si>
  <si>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</si>
  <si>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</si>
  <si>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</si>
  <si>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</si>
  <si>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</si>
  <si>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</si>
  <si>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</si>
  <si>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</si>
  <si>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</si>
  <si>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</si>
  <si>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</si>
  <si>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</si>
  <si>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</si>
  <si>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</si>
  <si>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</si>
  <si>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</si>
  <si>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</si>
  <si>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</si>
  <si>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</si>
  <si>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</si>
  <si>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</si>
  <si>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</si>
  <si>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</si>
  <si>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</si>
  <si>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</si>
  <si>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</si>
  <si>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</si>
  <si>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</si>
  <si>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</si>
  <si>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</si>
  <si>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</si>
  <si>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</si>
  <si>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</si>
  <si>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</si>
  <si>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</si>
  <si>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</si>
  <si>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</si>
  <si>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</si>
  <si>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</si>
  <si>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</si>
  <si>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</si>
  <si>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</si>
  <si>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</si>
  <si>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</si>
  <si>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</si>
  <si>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</si>
  <si>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</si>
  <si>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</si>
  <si>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</si>
  <si>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</si>
  <si>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</si>
  <si>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</si>
  <si>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</si>
  <si>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</si>
  <si>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</si>
  <si>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</si>
  <si>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</si>
  <si>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</si>
  <si>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</si>
  <si>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</si>
  <si>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</si>
  <si>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</si>
  <si>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</si>
  <si>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</si>
  <si>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</si>
  <si>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</si>
  <si>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</si>
  <si>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</si>
  <si>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</si>
  <si>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</si>
  <si>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</si>
  <si>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</si>
  <si>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</si>
  <si>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</si>
  <si>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</si>
  <si>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</si>
  <si>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</si>
  <si>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</si>
  <si>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</si>
  <si>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</si>
  <si>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</si>
  <si>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</si>
  <si>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</si>
  <si>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</si>
  <si>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</si>
  <si>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</si>
  <si>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</si>
  <si>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</si>
  <si>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</si>
  <si>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</si>
  <si>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</si>
  <si>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</si>
  <si>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</si>
  <si>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</si>
  <si>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</si>
  <si>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</si>
  <si>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</si>
  <si>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</si>
  <si>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</si>
  <si>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</si>
  <si>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</si>
  <si>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</si>
  <si>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</si>
  <si>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</si>
  <si>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</si>
  <si>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</si>
  <si>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</si>
  <si>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</si>
  <si>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</si>
  <si>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</si>
  <si>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</si>
  <si>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</si>
  <si>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</si>
  <si>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</si>
  <si>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</si>
  <si>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</si>
  <si>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</si>
  <si>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</si>
  <si>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</si>
  <si>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</si>
  <si>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</si>
  <si>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</si>
  <si>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</si>
  <si>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</si>
  <si>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</si>
  <si>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</si>
  <si>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</si>
  <si>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</si>
  <si>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</si>
  <si>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</si>
  <si>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</si>
  <si>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</si>
  <si>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</si>
  <si>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</si>
  <si>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</si>
  <si>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</si>
  <si>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</si>
  <si>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</si>
  <si>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</si>
  <si>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</si>
  <si>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</si>
  <si>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</si>
  <si>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</si>
  <si>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</si>
  <si>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</si>
  <si>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</si>
  <si>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</si>
  <si>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</si>
  <si>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</si>
  <si>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</si>
  <si>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</si>
  <si>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</si>
  <si>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</si>
  <si>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</si>
  <si>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</si>
  <si>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</si>
  <si>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</si>
  <si>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</si>
  <si>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</si>
  <si>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</si>
  <si>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</si>
  <si>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</si>
  <si>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</si>
  <si>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</si>
  <si>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</si>
  <si>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</si>
  <si>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</si>
  <si>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</si>
  <si>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</si>
  <si>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</si>
  <si>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</si>
  <si>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</si>
  <si>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</si>
  <si>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</si>
  <si>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</si>
  <si>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</si>
  <si>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</si>
  <si>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</si>
  <si>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</si>
  <si>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</si>
  <si>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</si>
  <si>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</si>
  <si>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</si>
  <si>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</si>
  <si>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</si>
  <si>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</si>
  <si>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</si>
  <si>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</si>
  <si>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</si>
  <si>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</si>
  <si>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</si>
  <si>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</si>
  <si>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</si>
  <si>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</si>
  <si>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</si>
  <si>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</si>
  <si>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</si>
  <si>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</si>
  <si>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</si>
  <si>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</si>
  <si>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</si>
  <si>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</si>
  <si>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</si>
  <si>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</si>
  <si>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</si>
  <si>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</si>
  <si>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</si>
  <si>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</si>
  <si>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</si>
  <si>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</si>
  <si>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</si>
  <si>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</si>
  <si>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</si>
  <si>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</si>
  <si>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</si>
  <si>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</si>
  <si>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</si>
  <si>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</si>
  <si>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</si>
  <si>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</si>
  <si>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</si>
  <si>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</si>
  <si>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</si>
  <si>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</si>
  <si>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</si>
  <si>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</si>
  <si>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</si>
  <si>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</si>
  <si>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</si>
  <si>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</si>
  <si>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</si>
  <si>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</si>
  <si>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</si>
  <si>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</si>
  <si>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</si>
  <si>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</si>
  <si>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</si>
  <si>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</si>
  <si>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</si>
  <si>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</si>
  <si>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</si>
  <si>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</si>
  <si>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</si>
  <si>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</si>
  <si>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</si>
  <si>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</si>
  <si>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</si>
  <si>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</si>
  <si>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</si>
  <si>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</si>
  <si>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</si>
  <si>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</si>
  <si>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</si>
  <si>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</si>
  <si>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</si>
  <si>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</si>
  <si>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</si>
  <si>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</si>
  <si>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</si>
  <si>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</si>
  <si>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</si>
  <si>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</si>
  <si>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</si>
  <si>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</si>
  <si>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</si>
  <si>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</si>
  <si>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</si>
  <si>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</si>
  <si>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</si>
  <si>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</si>
  <si>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</si>
  <si>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</si>
  <si>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</si>
  <si>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</si>
  <si>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</si>
  <si>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</si>
  <si>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</si>
  <si>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</si>
  <si>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</si>
  <si>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</si>
  <si>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</si>
  <si>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</si>
  <si>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</si>
  <si>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</si>
  <si>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</si>
  <si>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</si>
  <si>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</si>
  <si>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</si>
  <si>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</si>
  <si>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</si>
  <si>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</si>
  <si>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</si>
  <si>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</si>
  <si>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</si>
  <si>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</si>
  <si>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</si>
  <si>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</si>
  <si>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</si>
  <si>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</si>
  <si>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</si>
  <si>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</si>
  <si>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</si>
  <si>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</si>
  <si>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</si>
  <si>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</si>
  <si>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</si>
  <si>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</si>
  <si>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</si>
  <si>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</si>
  <si>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</si>
  <si>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</si>
  <si>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</si>
  <si>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</si>
  <si>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</si>
  <si>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</si>
  <si>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</si>
  <si>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</si>
  <si>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</si>
  <si>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</si>
  <si>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</si>
  <si>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</si>
  <si>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</si>
  <si>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</si>
  <si>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</si>
  <si>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</si>
  <si>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</si>
  <si>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</si>
  <si>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</si>
  <si>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</si>
  <si>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</si>
  <si>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</si>
  <si>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</si>
  <si>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</si>
  <si>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</si>
  <si>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</si>
  <si>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</si>
  <si>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</si>
  <si>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</si>
  <si>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</si>
  <si>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</si>
  <si>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</si>
  <si>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</si>
  <si>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</si>
  <si>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</si>
  <si>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</si>
  <si>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</si>
  <si>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</si>
  <si>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</si>
  <si>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</si>
  <si>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</si>
  <si>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</si>
  <si>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</si>
  <si>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</si>
  <si>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</si>
  <si>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</si>
  <si>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</si>
  <si>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</si>
  <si>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</si>
  <si>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</si>
  <si>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</si>
  <si>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</si>
  <si>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</si>
  <si>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</si>
  <si>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</si>
  <si>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</si>
  <si>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</si>
  <si>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</si>
  <si>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</si>
  <si>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</si>
  <si>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</si>
  <si>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</si>
  <si>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</si>
  <si>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</si>
  <si>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</si>
  <si>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</si>
  <si>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</si>
  <si>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</si>
  <si>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</si>
  <si>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</si>
  <si>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</si>
  <si>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</si>
  <si>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</si>
  <si>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</si>
  <si>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</si>
  <si>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</si>
  <si>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</si>
  <si>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</si>
  <si>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</si>
  <si>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</si>
  <si>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</si>
  <si>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</si>
  <si>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</si>
  <si>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</si>
  <si>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</si>
  <si>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</si>
  <si>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</si>
  <si>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</si>
  <si>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</si>
  <si>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</si>
  <si>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</si>
  <si>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</si>
  <si>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</si>
  <si>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</si>
  <si>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</si>
  <si>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</si>
  <si>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</si>
  <si>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</si>
  <si>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</si>
  <si>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</si>
  <si>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</si>
  <si>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</si>
  <si>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</si>
  <si>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</si>
  <si>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</si>
  <si>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</si>
  <si>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</si>
  <si>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</si>
  <si>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</si>
  <si>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</si>
  <si>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</si>
  <si>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</si>
  <si>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</si>
  <si>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</si>
  <si>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</si>
  <si>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</si>
  <si>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</si>
  <si>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</si>
  <si>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</si>
  <si>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</si>
  <si>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</si>
  <si>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</si>
  <si>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</si>
  <si>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</si>
  <si>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</si>
  <si>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</si>
  <si>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</si>
  <si>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</si>
  <si>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</si>
  <si>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</si>
  <si>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</si>
  <si>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</si>
  <si>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</si>
  <si>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</si>
  <si>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</si>
  <si>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</si>
  <si>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</si>
  <si>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</si>
  <si>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</si>
  <si>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</si>
  <si>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</si>
  <si>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</si>
  <si>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</si>
  <si>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</si>
  <si>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</si>
  <si>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</si>
  <si>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</si>
  <si>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</si>
  <si>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</si>
  <si>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</si>
  <si>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</si>
  <si>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</si>
  <si>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</si>
  <si>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</si>
  <si>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</si>
  <si>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</si>
  <si>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</si>
  <si>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</si>
  <si>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</si>
  <si>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</si>
  <si>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</si>
  <si>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</si>
  <si>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</si>
  <si>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</si>
  <si>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</si>
  <si>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</si>
  <si>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</si>
  <si>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</si>
  <si>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</si>
  <si>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</si>
  <si>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</si>
  <si>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</si>
  <si>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</si>
  <si>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</si>
  <si>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</si>
  <si>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</si>
  <si>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</si>
  <si>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</si>
  <si>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</si>
  <si>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</si>
  <si>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</si>
  <si>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</si>
  <si>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</si>
  <si>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</si>
  <si>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</si>
  <si>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</si>
  <si>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</si>
  <si>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</si>
  <si>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</si>
  <si>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</si>
  <si>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</si>
  <si>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</si>
  <si>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</si>
  <si>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</si>
  <si>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</si>
  <si>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</si>
  <si>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</si>
  <si>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</si>
  <si>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</si>
  <si>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</si>
  <si>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</si>
  <si>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</si>
  <si>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</si>
  <si>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</si>
  <si>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</si>
  <si>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</si>
  <si>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</si>
  <si>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</si>
  <si>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</si>
  <si>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</si>
  <si>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</si>
  <si>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</si>
  <si>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</si>
  <si>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</si>
  <si>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</si>
  <si>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</si>
  <si>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</si>
  <si>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</si>
  <si>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</si>
  <si>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</si>
  <si>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</si>
  <si>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</si>
  <si>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</si>
  <si>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</si>
  <si>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</si>
  <si>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</si>
  <si>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</si>
  <si>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</si>
  <si>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</si>
  <si>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</si>
  <si>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</si>
  <si>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</si>
  <si>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</si>
  <si>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</si>
  <si>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</si>
  <si>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</si>
  <si>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</si>
  <si>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</si>
  <si>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</si>
  <si>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</si>
  <si>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</si>
  <si>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</si>
  <si>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</si>
  <si>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</si>
  <si>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</si>
  <si>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</si>
  <si>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</si>
  <si>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</si>
  <si>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</si>
  <si>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</si>
  <si>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</si>
  <si>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</si>
  <si>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</si>
  <si>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</si>
  <si>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</si>
  <si>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</si>
  <si>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</si>
  <si>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</si>
  <si>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</si>
  <si>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</si>
  <si>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</si>
  <si>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</si>
  <si>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</si>
  <si>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</si>
  <si>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</si>
  <si>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</si>
  <si>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</si>
  <si>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</si>
  <si>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</si>
  <si>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</si>
  <si>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</si>
  <si>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</si>
  <si>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</si>
  <si>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</si>
  <si>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</si>
  <si>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</si>
  <si>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</si>
  <si>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</si>
  <si>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</si>
  <si>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</si>
  <si>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</si>
  <si>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</si>
  <si>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</si>
  <si>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</si>
  <si>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</si>
  <si>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</si>
  <si>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</si>
  <si>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</si>
  <si>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</si>
  <si>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</si>
  <si>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</si>
  <si>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</si>
  <si>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</si>
  <si>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</si>
  <si>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</si>
  <si>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</si>
  <si>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</si>
  <si>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</si>
  <si>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</si>
  <si>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</si>
  <si>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</si>
  <si>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</si>
  <si>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</si>
  <si>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</si>
  <si>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</si>
  <si>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</si>
  <si>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</si>
  <si>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</si>
  <si>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</si>
  <si>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</si>
  <si>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</si>
  <si>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</si>
  <si>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</si>
  <si>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</si>
  <si>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</si>
  <si>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</si>
  <si>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</si>
  <si>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</si>
  <si>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</si>
  <si>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</si>
  <si>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</si>
  <si>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</si>
  <si>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</si>
  <si>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</si>
  <si>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</si>
  <si>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</si>
  <si>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</si>
  <si>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</si>
  <si>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</si>
  <si>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</si>
  <si>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</si>
  <si>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</si>
  <si>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</si>
  <si>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</si>
  <si>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</si>
  <si>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</si>
  <si>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</si>
  <si>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</si>
  <si>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</si>
  <si>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</si>
  <si>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</si>
  <si>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</si>
  <si>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</si>
  <si>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</si>
  <si>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</si>
  <si>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</si>
  <si>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</si>
  <si>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</si>
  <si>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</si>
  <si>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</si>
  <si>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</si>
  <si>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</si>
  <si>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</si>
  <si>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</si>
  <si>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</si>
  <si>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</si>
  <si>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</si>
  <si>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</si>
  <si>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</si>
  <si>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</si>
  <si>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</si>
  <si>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</si>
  <si>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</si>
  <si>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</si>
  <si>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</si>
  <si>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</si>
  <si>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</si>
  <si>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</si>
  <si>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</si>
  <si>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</si>
  <si>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</si>
  <si>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</si>
  <si>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</si>
  <si>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</si>
  <si>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</si>
  <si>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</si>
  <si>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</si>
  <si>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</si>
  <si>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</si>
  <si>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</si>
  <si>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</si>
  <si>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</si>
  <si>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</si>
  <si>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</si>
  <si>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</si>
  <si>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</si>
  <si>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</si>
  <si>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</si>
  <si>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</si>
  <si>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</si>
  <si>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</si>
  <si>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</si>
  <si>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</si>
  <si>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</si>
  <si>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</si>
  <si>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</si>
  <si>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</si>
  <si>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</si>
  <si>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</si>
  <si>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</si>
  <si>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</si>
  <si>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</si>
  <si>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</si>
  <si>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</si>
  <si>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</si>
  <si>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</si>
  <si>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</si>
  <si>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</si>
  <si>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</si>
  <si>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</si>
  <si>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</si>
  <si>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</si>
  <si>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</si>
  <si>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</si>
  <si>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</si>
  <si>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</si>
  <si>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</si>
  <si>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</si>
  <si>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</si>
  <si>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</si>
  <si>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</si>
  <si>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</si>
  <si>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</si>
  <si>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</si>
  <si>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</si>
  <si>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</si>
  <si>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</si>
  <si>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</si>
  <si>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</si>
  <si>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</si>
  <si>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</si>
  <si>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</si>
  <si>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</si>
  <si>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</si>
  <si>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</si>
  <si>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</si>
  <si>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</si>
  <si>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</si>
  <si>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</si>
  <si>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</si>
  <si>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</si>
  <si>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</si>
  <si>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</si>
  <si>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</si>
  <si>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</si>
  <si>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</si>
  <si>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</si>
  <si>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</si>
  <si>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</si>
  <si>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</si>
  <si>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</si>
  <si>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</si>
  <si>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</si>
  <si>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</si>
  <si>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</si>
  <si>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</si>
  <si>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</si>
  <si>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</si>
  <si>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</si>
  <si>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</si>
  <si>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</si>
  <si>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</si>
  <si>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</si>
  <si>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</si>
  <si>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</si>
  <si>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</si>
  <si>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</si>
  <si>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</si>
  <si>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</si>
  <si>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</si>
  <si>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</si>
  <si>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</si>
  <si>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</si>
  <si>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</si>
  <si>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</si>
  <si>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</si>
  <si>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</si>
  <si>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</si>
  <si>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</si>
  <si>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</si>
  <si>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</si>
  <si>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</si>
  <si>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</si>
  <si>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</si>
  <si>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</si>
  <si>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</si>
  <si>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</si>
  <si>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</si>
  <si>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</si>
  <si>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</si>
  <si>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</si>
  <si>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</si>
  <si>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</si>
  <si>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</si>
  <si>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</si>
  <si>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</si>
  <si>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</si>
  <si>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</si>
  <si>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</si>
  <si>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</si>
  <si>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</si>
  <si>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</si>
  <si>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</si>
  <si>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</si>
  <si>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</si>
  <si>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</si>
  <si>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</si>
  <si>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</si>
  <si>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</si>
  <si>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</si>
  <si>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</si>
  <si>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</si>
  <si>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</si>
  <si>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</si>
  <si>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</si>
  <si>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</si>
  <si>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</si>
  <si>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</si>
  <si>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</si>
  <si>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</si>
  <si>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</si>
  <si>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</si>
  <si>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</si>
  <si>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</si>
  <si>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</si>
  <si>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</si>
  <si>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</si>
  <si>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</si>
  <si>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</si>
  <si>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</si>
  <si>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</si>
  <si>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</si>
  <si>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</si>
  <si>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</si>
  <si>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</si>
  <si>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</si>
  <si>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</si>
  <si>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</si>
  <si>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</si>
  <si>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</si>
  <si>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</si>
  <si>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</si>
  <si>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</si>
  <si>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</si>
  <si>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</si>
  <si>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</si>
  <si>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</si>
  <si>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</si>
  <si>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</si>
  <si>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</si>
  <si>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</si>
  <si>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</si>
  <si>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</si>
  <si>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</si>
  <si>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</si>
  <si>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</si>
  <si>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</si>
  <si>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</si>
  <si>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</si>
  <si>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</si>
  <si>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</si>
  <si>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</si>
  <si>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</si>
  <si>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</si>
  <si>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</si>
  <si>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</si>
  <si>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</si>
  <si>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</si>
  <si>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</si>
  <si>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</si>
  <si>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</si>
  <si>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</si>
  <si>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</si>
  <si>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</si>
  <si>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</si>
  <si>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</si>
  <si>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</si>
  <si>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</si>
  <si>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</si>
  <si>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</si>
  <si>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</si>
  <si>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</si>
  <si>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</si>
  <si>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</si>
  <si>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</si>
  <si>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</si>
  <si>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</si>
  <si>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</si>
  <si>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</si>
  <si>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</si>
  <si>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</si>
  <si>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</si>
  <si>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</si>
  <si>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</si>
  <si>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</si>
  <si>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</si>
  <si>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</si>
  <si>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</si>
  <si>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</si>
  <si>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</si>
  <si>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</si>
  <si>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</si>
  <si>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</si>
  <si>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</si>
  <si>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</si>
  <si>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</si>
  <si>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</si>
  <si>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</si>
  <si>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</si>
  <si>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</si>
  <si>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</si>
  <si>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</si>
  <si>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</si>
  <si>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</si>
  <si>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</si>
  <si>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</si>
  <si>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</si>
  <si>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</si>
  <si>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</si>
  <si>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</si>
  <si>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</si>
  <si>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</si>
  <si>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</si>
  <si>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</si>
  <si>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</si>
  <si>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</si>
  <si>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</si>
  <si>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</si>
  <si>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</si>
  <si>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</si>
  <si>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</si>
  <si>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</si>
  <si>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</si>
  <si>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</si>
  <si>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</si>
  <si>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</si>
  <si>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</si>
  <si>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</si>
  <si>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</si>
  <si>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</si>
  <si>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</si>
  <si>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</si>
  <si>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</si>
  <si>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</si>
  <si>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</si>
  <si>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</si>
  <si>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</si>
  <si>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</si>
  <si>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</si>
  <si>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</si>
  <si>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</si>
  <si>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</si>
  <si>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</si>
  <si>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</si>
  <si>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</si>
  <si>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</si>
  <si>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</si>
  <si>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</si>
  <si>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</si>
  <si>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</si>
  <si>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</si>
  <si>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</si>
  <si>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</si>
  <si>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</si>
  <si>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</si>
  <si>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</si>
  <si>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</si>
  <si>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</si>
  <si>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</si>
  <si>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</si>
  <si>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</si>
  <si>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</si>
  <si>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</si>
  <si>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</si>
  <si>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</si>
  <si>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</si>
  <si>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</si>
  <si>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</si>
  <si>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</si>
  <si>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</si>
  <si>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</si>
  <si>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</si>
  <si>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</si>
  <si>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</si>
  <si>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</si>
  <si>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</si>
  <si>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</si>
  <si>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</si>
  <si>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</si>
  <si>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</si>
  <si>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</si>
  <si>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</si>
  <si>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</si>
  <si>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</si>
  <si>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</si>
  <si>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</si>
  <si>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</si>
  <si>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</si>
  <si>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</si>
  <si>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</si>
  <si>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</si>
  <si>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</si>
  <si>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</si>
  <si>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</si>
  <si>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</si>
  <si>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</si>
  <si>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</si>
  <si>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</si>
  <si>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</si>
  <si>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</si>
  <si>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</si>
  <si>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</si>
  <si>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</si>
  <si>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</si>
  <si>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</si>
  <si>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</si>
  <si>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</si>
  <si>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</si>
  <si>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</si>
  <si>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</si>
  <si>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</si>
  <si>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</si>
  <si>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</si>
  <si>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</si>
  <si>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</si>
  <si>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</si>
  <si>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</si>
  <si>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</si>
  <si>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</si>
  <si>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</si>
  <si>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</si>
  <si>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</si>
  <si>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</si>
  <si>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</si>
  <si>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</si>
  <si>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</si>
  <si>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</si>
  <si>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</si>
  <si>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</si>
  <si>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</si>
  <si>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</si>
  <si>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</si>
  <si>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</si>
  <si>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</si>
  <si>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</si>
  <si>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</si>
  <si>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</si>
  <si>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</si>
  <si>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</si>
  <si>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</si>
  <si>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</si>
  <si>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</si>
  <si>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</si>
  <si>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</si>
  <si>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</si>
  <si>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</si>
  <si>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</si>
  <si>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</si>
  <si>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</si>
  <si>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</si>
  <si>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</si>
  <si>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</si>
  <si>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</si>
  <si>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</si>
  <si>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</si>
  <si>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</si>
  <si>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</si>
  <si>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</si>
  <si>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</si>
  <si>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</si>
  <si>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</si>
  <si>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</si>
  <si>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</si>
  <si>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</si>
  <si>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</si>
  <si>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</si>
  <si>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</si>
  <si>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</si>
  <si>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</si>
  <si>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</si>
  <si>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</si>
  <si>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</si>
  <si>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</si>
  <si>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</si>
  <si>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</si>
  <si>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</si>
  <si>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</si>
  <si>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</si>
  <si>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</si>
  <si>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</si>
  <si>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</si>
  <si>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</si>
  <si>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</si>
  <si>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</si>
  <si>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</si>
  <si>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</si>
  <si>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</si>
  <si>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</si>
  <si>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</si>
  <si>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</si>
  <si>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</si>
  <si>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</si>
  <si>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</si>
  <si>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</si>
  <si>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</si>
  <si>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</si>
  <si>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</si>
  <si>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</si>
  <si>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</si>
  <si>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</si>
  <si>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</si>
  <si>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</si>
  <si>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</si>
  <si>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</si>
  <si>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</si>
  <si>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</si>
  <si>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</si>
  <si>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</si>
  <si>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</si>
  <si>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</si>
  <si>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</si>
  <si>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</si>
  <si>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</si>
  <si>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</si>
  <si>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</si>
  <si>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</si>
  <si>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</si>
  <si>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</si>
  <si>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</si>
  <si>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</si>
  <si>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</si>
  <si>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</si>
  <si>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</si>
  <si>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</si>
  <si>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</si>
  <si>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</si>
  <si>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</si>
  <si>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</si>
  <si>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</si>
  <si>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</si>
  <si>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</si>
  <si>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</si>
  <si>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</si>
  <si>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</si>
  <si>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</si>
  <si>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</si>
  <si>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</si>
  <si>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</si>
  <si>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</si>
  <si>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</si>
  <si>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</si>
  <si>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</si>
  <si>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</si>
  <si>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</si>
  <si>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</si>
  <si>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</si>
  <si>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</si>
  <si>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</si>
  <si>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</si>
  <si>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</si>
  <si>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</si>
  <si>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</si>
  <si>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</si>
  <si>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</si>
  <si>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</si>
  <si>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</si>
  <si>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</si>
  <si>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</si>
  <si>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</si>
  <si>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</si>
  <si>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</si>
  <si>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</si>
  <si>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</si>
  <si>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</si>
  <si>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</si>
  <si>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</si>
  <si>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</si>
  <si>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</si>
  <si>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</si>
  <si>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</si>
  <si>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</si>
  <si>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</si>
  <si>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</si>
  <si>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</si>
  <si>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</si>
  <si>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</si>
  <si>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</si>
  <si>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</si>
  <si>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</si>
  <si>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</si>
  <si>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</si>
  <si>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</si>
  <si>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</si>
  <si>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</si>
  <si>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</si>
  <si>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</si>
  <si>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</si>
  <si>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</si>
  <si>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</si>
  <si>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</si>
  <si>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</si>
  <si>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</si>
  <si>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</si>
  <si>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</si>
  <si>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</si>
  <si>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</si>
  <si>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</si>
  <si>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</si>
  <si>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</si>
  <si>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</si>
  <si>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</si>
  <si>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</si>
  <si>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</si>
  <si>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</si>
  <si>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</si>
  <si>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</si>
  <si>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</si>
  <si>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</si>
  <si>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</si>
  <si>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</si>
  <si>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</si>
  <si>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</si>
  <si>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</si>
  <si>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</si>
  <si>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</si>
  <si>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</si>
  <si>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</si>
  <si>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</si>
  <si>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</si>
  <si>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</si>
  <si>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</si>
  <si>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</si>
  <si>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</si>
  <si>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</si>
  <si>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</si>
  <si>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</si>
  <si>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</si>
  <si>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</si>
  <si>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</si>
  <si>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</si>
  <si>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</si>
  <si>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</si>
  <si>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</si>
  <si>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</si>
  <si>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</si>
  <si>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</si>
  <si>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</si>
  <si>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</si>
  <si>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</si>
  <si>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</si>
  <si>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</si>
  <si>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</si>
  <si>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</si>
  <si>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</si>
  <si>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</si>
  <si>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</si>
  <si>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</si>
  <si>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</si>
  <si>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</si>
  <si>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</si>
  <si>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</si>
  <si>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</si>
  <si>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</si>
  <si>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</si>
  <si>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</si>
  <si>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</si>
  <si>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</si>
  <si>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</si>
  <si>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</si>
  <si>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</si>
  <si>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</si>
  <si>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</si>
  <si>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</si>
  <si>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</si>
  <si>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</si>
  <si>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</si>
  <si>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</si>
  <si>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</si>
  <si>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</si>
  <si>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</si>
  <si>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</si>
  <si>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</si>
  <si>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</si>
  <si>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</si>
  <si>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</si>
  <si>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</si>
  <si>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</si>
  <si>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</si>
  <si>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</si>
  <si>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</si>
  <si>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</si>
  <si>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</si>
  <si>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</si>
  <si>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</si>
  <si>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</si>
  <si>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</si>
  <si>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</si>
  <si>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</si>
  <si>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</si>
  <si>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</si>
  <si>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</si>
  <si>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</si>
  <si>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</si>
  <si>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</si>
  <si>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</si>
  <si>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</si>
  <si>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</si>
  <si>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</si>
  <si>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</si>
  <si>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</si>
  <si>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</si>
  <si>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</si>
  <si>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</si>
  <si>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</si>
  <si>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</si>
  <si>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</si>
  <si>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</si>
  <si>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</si>
  <si>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</si>
  <si>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</si>
  <si>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</si>
  <si>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</si>
  <si>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</si>
  <si>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</si>
  <si>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</si>
  <si>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</si>
  <si>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</si>
  <si>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</si>
  <si>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</si>
  <si>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</si>
  <si>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</si>
  <si>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</si>
  <si>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</si>
  <si>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</si>
  <si>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</si>
  <si>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</si>
  <si>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</si>
  <si>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</si>
  <si>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</si>
  <si>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</si>
  <si>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</si>
  <si>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</si>
  <si>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</si>
  <si>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</si>
  <si>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</si>
  <si>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</si>
  <si>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</si>
  <si>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</si>
  <si>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</si>
  <si>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</si>
  <si>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</si>
  <si>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</si>
  <si>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</si>
  <si>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</si>
  <si>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</si>
  <si>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</si>
  <si>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</si>
  <si>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</si>
  <si>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</si>
  <si>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</si>
  <si>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</si>
  <si>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</si>
  <si>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</si>
  <si>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</si>
  <si>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</si>
  <si>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</si>
  <si>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</si>
  <si>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</si>
  <si>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</si>
  <si>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</si>
  <si>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</si>
  <si>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</si>
  <si>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</si>
  <si>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</si>
  <si>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</si>
  <si>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</si>
  <si>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</si>
  <si>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</si>
  <si>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</si>
  <si>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</si>
  <si>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</si>
  <si>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</si>
  <si>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</si>
  <si>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</si>
  <si>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</si>
  <si>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</si>
  <si>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</si>
  <si>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</si>
  <si>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</si>
  <si>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</si>
  <si>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</si>
  <si>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</si>
  <si>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</si>
  <si>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</si>
  <si>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</si>
  <si>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</si>
  <si>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</si>
  <si>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</si>
  <si>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</si>
  <si>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</si>
  <si>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</si>
  <si>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</si>
  <si>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</si>
  <si>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</si>
  <si>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</si>
  <si>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</si>
  <si>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</si>
  <si>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</si>
  <si>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</si>
  <si>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</si>
  <si>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</si>
  <si>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</si>
  <si>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</si>
  <si>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</si>
  <si>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</si>
  <si>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</si>
  <si>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</si>
  <si>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</si>
  <si>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</si>
  <si>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</si>
  <si>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</si>
  <si>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</si>
  <si>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</si>
  <si>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</si>
  <si>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</si>
  <si>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</si>
  <si>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</si>
  <si>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</si>
  <si>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</si>
  <si>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</si>
  <si>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</si>
  <si>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</si>
  <si>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</si>
  <si>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</si>
  <si>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</si>
  <si>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</si>
  <si>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</si>
  <si>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</si>
  <si>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</si>
  <si>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</si>
  <si>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</si>
  <si>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</si>
  <si>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</si>
  <si>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</si>
  <si>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</si>
  <si>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</si>
  <si>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</si>
  <si>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</si>
  <si>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</si>
  <si>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</si>
  <si>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</si>
  <si>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</si>
  <si>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</si>
  <si>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</si>
  <si>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</si>
  <si>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</si>
  <si>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</si>
  <si>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</si>
  <si>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</si>
  <si>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</si>
  <si>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</si>
  <si>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</si>
  <si>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</si>
  <si>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</si>
  <si>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</si>
  <si>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</si>
  <si>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</si>
  <si>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</si>
  <si>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</si>
  <si>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</si>
  <si>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</si>
  <si>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</si>
  <si>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</si>
  <si>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</si>
  <si>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</si>
  <si>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</si>
  <si>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</si>
  <si>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</si>
  <si>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</si>
  <si>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</si>
  <si>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</si>
  <si>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</si>
  <si>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</si>
  <si>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</si>
  <si>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</si>
  <si>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</si>
  <si>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</si>
  <si>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</si>
  <si>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</si>
  <si>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</si>
  <si>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</si>
  <si>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</si>
  <si>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</si>
  <si>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</si>
  <si>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</si>
  <si>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</si>
  <si>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</si>
  <si>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</si>
  <si>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</si>
  <si>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</si>
  <si>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</si>
  <si>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</si>
  <si>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</si>
  <si>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</si>
  <si>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</si>
  <si>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</si>
  <si>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</si>
  <si>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</si>
  <si>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</si>
  <si>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</si>
  <si>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</si>
  <si>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</si>
  <si>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</si>
  <si>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</si>
  <si>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</si>
  <si>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</si>
  <si>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</si>
  <si>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</si>
  <si>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</si>
  <si>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</si>
  <si>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</si>
  <si>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</si>
  <si>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</si>
  <si>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</si>
  <si>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</si>
  <si>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</si>
  <si>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</si>
  <si>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</si>
  <si>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</si>
  <si>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</si>
  <si>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</si>
  <si>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</si>
  <si>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</si>
  <si>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</si>
  <si>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</si>
  <si>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</si>
  <si>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</si>
  <si>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</si>
  <si>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</si>
  <si>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</si>
  <si>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</si>
  <si>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</si>
  <si>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</si>
  <si>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</si>
  <si>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</si>
  <si>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</si>
  <si>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</si>
  <si>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</si>
  <si>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</si>
  <si>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</si>
  <si>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</si>
  <si>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</si>
  <si>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</si>
  <si>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</si>
  <si>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</si>
  <si>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</si>
  <si>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</si>
  <si>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</si>
  <si>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</si>
  <si>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</si>
  <si>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</si>
  <si>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</si>
  <si>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</si>
  <si>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</si>
  <si>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</si>
  <si>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</si>
  <si>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</si>
  <si>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</si>
  <si>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</si>
  <si>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</si>
  <si>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</si>
  <si>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</si>
  <si>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</si>
  <si>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</si>
  <si>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</si>
  <si>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</si>
  <si>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</si>
  <si>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</si>
  <si>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</si>
  <si>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</si>
  <si>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</si>
  <si>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</si>
  <si>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</si>
  <si>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</si>
  <si>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</si>
  <si>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</si>
  <si>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</si>
  <si>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</si>
  <si>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</si>
  <si>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</si>
  <si>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</si>
  <si>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</si>
  <si>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</si>
  <si>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</si>
  <si>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</si>
  <si>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</si>
  <si>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</si>
  <si>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</si>
  <si>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</si>
  <si>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</si>
  <si>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</si>
  <si>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</si>
  <si>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</si>
  <si>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</si>
  <si>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</si>
  <si>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</si>
  <si>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</si>
  <si>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</si>
  <si>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</si>
  <si>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</si>
  <si>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</si>
  <si>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</si>
  <si>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</si>
  <si>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</si>
  <si>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</si>
  <si>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</si>
  <si>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</si>
  <si>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</si>
  <si>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</si>
  <si>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</si>
  <si>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</si>
  <si>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</si>
  <si>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</si>
  <si>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</si>
  <si>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</si>
  <si>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</si>
  <si>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</si>
  <si>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</si>
  <si>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</si>
  <si>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</si>
  <si>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</si>
  <si>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</si>
  <si>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</si>
  <si>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</si>
  <si>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</si>
  <si>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</si>
  <si>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</si>
  <si>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</si>
  <si>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</si>
  <si>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</si>
  <si>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</si>
  <si>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</si>
  <si>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</si>
  <si>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</si>
  <si>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</si>
  <si>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</si>
  <si>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</si>
  <si>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</si>
  <si>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</si>
  <si>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</si>
  <si>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</si>
  <si>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</si>
  <si>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</si>
  <si>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</si>
  <si>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</si>
  <si>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</si>
  <si>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</si>
  <si>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</si>
  <si>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</si>
  <si>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</si>
  <si>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</si>
  <si>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</si>
  <si>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</si>
  <si>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</si>
  <si>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</si>
  <si>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</si>
  <si>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</si>
  <si>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</si>
  <si>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</si>
  <si>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</si>
  <si>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</si>
  <si>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</si>
  <si>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</si>
  <si>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</si>
  <si>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</si>
  <si>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</si>
  <si>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</si>
  <si>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</si>
  <si>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</si>
  <si>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</si>
  <si>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</si>
  <si>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</si>
  <si>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</si>
  <si>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</si>
  <si>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</si>
  <si>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</si>
  <si>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</si>
  <si>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</si>
  <si>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</si>
  <si>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</si>
  <si>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</si>
  <si>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</si>
  <si>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</si>
  <si>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</si>
  <si>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</si>
  <si>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</si>
  <si>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</si>
  <si>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</si>
  <si>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</si>
  <si>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</si>
  <si>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</si>
  <si>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</si>
  <si>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</si>
  <si>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</si>
  <si>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</si>
  <si>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</si>
  <si>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</si>
  <si>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</si>
  <si>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</si>
  <si>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</si>
  <si>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</si>
  <si>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</si>
  <si>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</si>
  <si>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</si>
  <si>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</si>
  <si>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</si>
  <si>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</si>
  <si>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</si>
  <si>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</si>
  <si>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</si>
  <si>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</si>
  <si>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</si>
  <si>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</si>
  <si>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</si>
  <si>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</si>
  <si>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</si>
  <si>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</si>
  <si>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</si>
  <si>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</si>
  <si>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</si>
  <si>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</si>
  <si>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</si>
  <si>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</si>
  <si>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</si>
  <si>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</si>
  <si>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</si>
  <si>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</si>
  <si>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</si>
  <si>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</si>
  <si>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</si>
  <si>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</si>
  <si>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</si>
  <si>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</si>
  <si>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</si>
  <si>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</si>
  <si>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</si>
  <si>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</si>
  <si>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</si>
  <si>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</si>
  <si>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</si>
  <si>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</si>
  <si>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</si>
  <si>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</si>
  <si>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</si>
  <si>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</si>
  <si>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</si>
  <si>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</si>
  <si>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</si>
  <si>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</si>
  <si>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</si>
  <si>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</si>
  <si>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</si>
  <si>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</si>
  <si>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</si>
  <si>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</si>
  <si>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</si>
  <si>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</si>
  <si>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</si>
  <si>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</si>
  <si>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</si>
  <si>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</si>
  <si>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</si>
  <si>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</si>
  <si>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</si>
  <si>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</si>
  <si>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</si>
  <si>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</si>
  <si>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</si>
  <si>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</si>
  <si>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</si>
  <si>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</si>
  <si>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</si>
  <si>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</si>
  <si>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</si>
  <si>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</si>
  <si>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</si>
  <si>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</si>
  <si>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</si>
  <si>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</si>
  <si>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</si>
  <si>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</si>
  <si>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</si>
  <si>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</si>
  <si>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</si>
  <si>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</si>
  <si>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</si>
  <si>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</si>
  <si>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</si>
  <si>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</si>
  <si>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</si>
  <si>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</si>
  <si>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</si>
  <si>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</si>
  <si>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</si>
  <si>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</si>
  <si>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</si>
  <si>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</si>
  <si>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</si>
  <si>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</si>
  <si>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</si>
  <si>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</si>
  <si>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</si>
  <si>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</si>
  <si>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</si>
  <si>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</si>
  <si>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</si>
  <si>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</si>
  <si>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</si>
  <si>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</si>
  <si>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</si>
  <si>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</si>
  <si>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</si>
  <si>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</si>
  <si>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</si>
  <si>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</si>
  <si>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</si>
  <si>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</si>
  <si>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</si>
  <si>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</si>
  <si>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</si>
  <si>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</si>
  <si>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</si>
  <si>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</si>
  <si>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</si>
  <si>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</si>
  <si>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</si>
  <si>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</si>
  <si>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</si>
  <si>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</si>
  <si>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</si>
  <si>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</si>
  <si>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</si>
  <si>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</si>
  <si>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</si>
  <si>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</si>
  <si>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</si>
  <si>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</si>
  <si>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</si>
  <si>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</si>
  <si>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</si>
  <si>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</si>
  <si>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</si>
  <si>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</si>
  <si>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</si>
  <si>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</si>
  <si>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</si>
  <si>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</si>
  <si>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</si>
  <si>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</si>
  <si>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</si>
  <si>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</si>
  <si>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</si>
  <si>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</si>
  <si>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</si>
  <si>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</si>
  <si>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</si>
  <si>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</si>
  <si>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</si>
  <si>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</si>
  <si>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</si>
  <si>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</si>
  <si>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</si>
  <si>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</si>
  <si>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</si>
  <si>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</si>
  <si>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</si>
  <si>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</si>
  <si>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</si>
  <si>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</si>
  <si>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</si>
  <si>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</si>
  <si>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</si>
  <si>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</si>
  <si>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</si>
  <si>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</si>
  <si>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</si>
  <si>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</si>
  <si>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</si>
  <si>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</si>
  <si>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</si>
  <si>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</si>
  <si>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</si>
  <si>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</si>
  <si>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</si>
  <si>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</si>
  <si>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</si>
  <si>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</si>
  <si>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</si>
  <si>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</si>
  <si>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</si>
  <si>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</si>
  <si>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</si>
  <si>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</si>
  <si>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</si>
  <si>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</si>
  <si>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</si>
  <si>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</si>
  <si>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</si>
  <si>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</si>
  <si>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</si>
  <si>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</si>
  <si>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</si>
  <si>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</si>
  <si>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</si>
  <si>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</si>
  <si>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</si>
  <si>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</si>
  <si>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</si>
  <si>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</si>
  <si>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</si>
  <si>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</si>
  <si>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</si>
  <si>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</si>
  <si>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</si>
  <si>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</si>
  <si>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</si>
  <si>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</si>
  <si>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</si>
  <si>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</si>
  <si>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</si>
  <si>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</si>
  <si>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</si>
  <si>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</si>
  <si>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</si>
  <si>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</si>
  <si>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</si>
  <si>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</si>
  <si>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</si>
  <si>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</si>
  <si>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</si>
  <si>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</si>
  <si>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</si>
  <si>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</si>
  <si>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</si>
  <si>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</si>
  <si>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</si>
  <si>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</si>
  <si>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</si>
  <si>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</si>
  <si>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</si>
  <si>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</si>
  <si>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</si>
  <si>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</si>
  <si>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</si>
  <si>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</si>
  <si>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</si>
  <si>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</si>
  <si>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</si>
  <si>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</si>
  <si>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</si>
  <si>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</si>
  <si>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</si>
  <si>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</si>
  <si>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</si>
  <si>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</si>
  <si>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</si>
  <si>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</si>
  <si>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</si>
  <si>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</si>
  <si>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</si>
  <si>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</si>
  <si>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</si>
  <si>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</si>
  <si>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</si>
  <si>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</si>
  <si>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</si>
  <si>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</si>
  <si>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</si>
  <si>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</si>
  <si>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</si>
  <si>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</si>
  <si>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</si>
  <si>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</si>
  <si>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</si>
  <si>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</si>
  <si>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</si>
  <si>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</si>
  <si>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</si>
  <si>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</si>
  <si>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</si>
  <si>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</si>
  <si>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</si>
  <si>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</si>
  <si>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</si>
  <si>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</si>
  <si>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</si>
  <si>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</si>
  <si>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</si>
  <si>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</si>
  <si>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</si>
  <si>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</si>
  <si>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</si>
  <si>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</si>
  <si>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</si>
  <si>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</si>
  <si>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</si>
  <si>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</si>
  <si>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</si>
  <si>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</si>
  <si>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</si>
  <si>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</si>
  <si>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</si>
  <si>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</si>
  <si>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</si>
  <si>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</si>
  <si>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</si>
  <si>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</si>
  <si>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</si>
  <si>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</si>
  <si>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</si>
  <si>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</si>
  <si>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</si>
  <si>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</si>
  <si>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</si>
  <si>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</si>
  <si>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</si>
  <si>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</si>
  <si>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</si>
  <si>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</si>
  <si>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</si>
  <si>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</si>
  <si>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</si>
  <si>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</si>
  <si>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</si>
  <si>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</si>
  <si>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</si>
  <si>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</si>
  <si>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</si>
  <si>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</si>
  <si>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</si>
  <si>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</si>
  <si>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</si>
  <si>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</si>
  <si>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</si>
  <si>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</si>
  <si>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</si>
  <si>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</si>
  <si>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</si>
  <si>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</si>
  <si>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</si>
  <si>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</si>
  <si>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</si>
  <si>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</si>
  <si>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</si>
  <si>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</si>
  <si>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</si>
  <si>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</si>
  <si>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含地下</t>
    <phoneticPr fontId="225" type="noConversion"/>
  </si>
  <si>
    <t>含地下</t>
    <phoneticPr fontId="225" type="noConversion"/>
  </si>
  <si>
    <t>不含</t>
    <phoneticPr fontId="225" type="noConversion"/>
  </si>
  <si>
    <t>不含</t>
    <phoneticPr fontId="225"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</si>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</sst>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8" fillId="0" borderId="9"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根据《国有土地使用证》[]，估价对象（分摊）出让国有建设用地使用权面积为48722.92平方米。根据《建设工程规划许可证》[]、《出让合同》[]，估价对象规划建筑面积为93501.88平方米。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48722.92</v>
      </c>
    </row>
    <row r="44" spans="1:2">
      <c r="A44" s="2540" t="s">
        <v>2509</v>
      </c>
      <c r="B44" s="2541" t="str">
        <f>'预评函-2'!O3</f>
        <v>规划建筑面积/㎡</v>
      </c>
    </row>
    <row r="45" spans="1:2">
      <c r="A45" s="2540" t="s">
        <v>2491</v>
      </c>
      <c r="B45" s="2541">
        <f>'预评函-2'!O5</f>
        <v>93501.879999999961</v>
      </c>
    </row>
    <row r="46" spans="1:2">
      <c r="A46" s="2540" t="s">
        <v>2492</v>
      </c>
      <c r="B46" s="2541">
        <f ca="1">'预评函-2'!P5</f>
        <v>3933</v>
      </c>
    </row>
    <row r="47" spans="1:2">
      <c r="A47" s="2540" t="s">
        <v>2493</v>
      </c>
      <c r="B47" s="2541">
        <f ca="1">'预评函-2'!Q5</f>
        <v>2049</v>
      </c>
    </row>
    <row r="48" spans="1:2">
      <c r="A48" s="2540" t="s">
        <v>2494</v>
      </c>
      <c r="B48" s="2541">
        <f ca="1">'预评函-2'!R5</f>
        <v>19161</v>
      </c>
    </row>
    <row r="49" spans="1:2">
      <c r="A49" s="2540" t="s">
        <v>2510</v>
      </c>
      <c r="B49" s="2541" t="str">
        <f>'预评函-2'!A6</f>
        <v>抵押价格</v>
      </c>
    </row>
    <row r="50" spans="1:2">
      <c r="A50" s="2540" t="s">
        <v>2495</v>
      </c>
      <c r="B50" s="2541">
        <f ca="1">'预评函-2'!R6</f>
        <v>19161</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10" sqref="F10"/>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79" t="str">
        <f>IF(B10="北京市","北京市",C10)&amp;F10&amp;B16&amp;"国有建设用地使用权"&amp;B9&amp;"预评估"</f>
        <v>湖北省宜昌市夷陵区东城试验区郭家湾村出让国有建设用地使用权抵押价格预评估</v>
      </c>
      <c r="C1" s="3580"/>
      <c r="D1" s="3580"/>
      <c r="E1" s="3580"/>
      <c r="F1" s="3580"/>
      <c r="G1" s="3580"/>
      <c r="H1" s="3580"/>
      <c r="I1" s="3581"/>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85"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86"/>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82"/>
      <c r="C12" s="3583"/>
      <c r="D12" s="3584"/>
      <c r="E12" s="1571" t="s">
        <v>1844</v>
      </c>
      <c r="F12" s="3600" t="s">
        <v>2654</v>
      </c>
      <c r="G12" s="3601"/>
      <c r="H12" s="3601"/>
      <c r="I12" s="3602"/>
      <c r="J12" s="3005"/>
      <c r="K12" s="2988"/>
      <c r="L12" s="2984"/>
      <c r="M12" s="2984"/>
      <c r="N12" s="2985"/>
      <c r="O12" s="2986"/>
      <c r="P12" s="2985"/>
      <c r="Q12" s="2985"/>
      <c r="R12" s="2985"/>
      <c r="S12" s="2985"/>
      <c r="T12" s="2985"/>
      <c r="U12" s="2985"/>
    </row>
    <row r="13" spans="1:21">
      <c r="A13" s="1562" t="s">
        <v>1842</v>
      </c>
      <c r="B13" s="3582"/>
      <c r="C13" s="3583"/>
      <c r="D13" s="3584"/>
      <c r="E13" s="1571" t="s">
        <v>1844</v>
      </c>
      <c r="F13" s="3600" t="s">
        <v>2655</v>
      </c>
      <c r="G13" s="3601"/>
      <c r="H13" s="3601"/>
      <c r="I13" s="3602"/>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住宅2089年8月29日</v>
      </c>
      <c r="L16" s="1571" t="str">
        <f>IF(OR(K16="",M16=""),"","、")</f>
        <v>、</v>
      </c>
      <c r="M16" s="2259" t="str">
        <f>IF(E17="","",E16&amp;TEXT(E17,"yyyy年m月d日;;"))</f>
        <v>商业2059年8月29日</v>
      </c>
      <c r="N16" s="1571" t="str">
        <f>IF(OR(M16="",O16=""),"","、")</f>
        <v/>
      </c>
      <c r="O16" s="2259" t="str">
        <f>IF(F17="","",F16&amp;TEXT(F17,"yyyy年m月d日;;"))</f>
        <v/>
      </c>
      <c r="P16" s="1571" t="str">
        <f>IF(OR(O16="",Q16=""),"","、")</f>
        <v/>
      </c>
      <c r="Q16" s="2259" t="str">
        <f>IF(G17="","",G16&amp;TEXT(G17,"yyyy年m月d日;;"))</f>
        <v>地下车库2069年8月29日</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v>69274</v>
      </c>
      <c r="E17" s="3516">
        <v>58316</v>
      </c>
      <c r="F17" s="3208"/>
      <c r="G17" s="3516">
        <v>61969</v>
      </c>
      <c r="H17" s="3208"/>
      <c r="I17" s="3208"/>
      <c r="J17" s="3005"/>
      <c r="K17" s="2983" t="str">
        <f>CONCATENATE(K16,L16,M16,N16,O16,P16,Q16,R16,S16,T16,,U16)</f>
        <v>住宅2089年8月29日、商业2059年8月29日地下车库2069年8月29日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66.56</v>
      </c>
      <c r="E19" s="1560">
        <f>IF(B16="出让",IF(E17="","",ROUNDDOWN(MIN((E17-$D$3)/365,E18),2)),E18)</f>
        <v>36.54</v>
      </c>
      <c r="F19" s="1560" t="str">
        <f>IF(B16="出让",IF(F17="","",ROUNDDOWN(MIN((F17-$D$3)/365,F18),2)),F18)</f>
        <v/>
      </c>
      <c r="G19" s="1560">
        <f>IF(B16="出让",IF(G17="","",ROUNDDOWN(MIN((G17-$D$3)/365,G18),2)),G18)</f>
        <v>46.55</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597"/>
      <c r="E20" s="3598"/>
      <c r="F20" s="3598"/>
      <c r="G20" s="3598"/>
      <c r="H20" s="3598"/>
      <c r="I20" s="3599"/>
      <c r="J20" s="3005"/>
      <c r="K20" s="2988"/>
      <c r="L20" s="2984"/>
      <c r="M20" s="2984"/>
      <c r="N20" s="2985"/>
      <c r="O20" s="2986"/>
      <c r="P20" s="2985"/>
      <c r="Q20" s="2985"/>
      <c r="R20" s="2985"/>
      <c r="S20" s="2985"/>
      <c r="T20" s="2985"/>
      <c r="U20" s="2985"/>
    </row>
    <row r="21" spans="1:21">
      <c r="A21" s="1630" t="s">
        <v>1741</v>
      </c>
      <c r="B21" s="1631" t="s">
        <v>1742</v>
      </c>
      <c r="C21" s="1626">
        <f>'数据-汇总表'!E3</f>
        <v>93501.879999999961</v>
      </c>
      <c r="D21" s="1627" t="s">
        <v>1743</v>
      </c>
      <c r="E21" s="3587" t="s">
        <v>1781</v>
      </c>
      <c r="F21" s="3588"/>
      <c r="G21" s="3588"/>
      <c r="H21" s="3588"/>
      <c r="I21" s="3589"/>
      <c r="J21" s="3005"/>
      <c r="K21" s="2988"/>
      <c r="L21" s="2984"/>
      <c r="M21" s="2984"/>
      <c r="N21" s="2985"/>
      <c r="O21" s="2986"/>
      <c r="P21" s="2985"/>
      <c r="Q21" s="2985"/>
      <c r="R21" s="2985"/>
      <c r="S21" s="2985"/>
      <c r="T21" s="2985"/>
      <c r="U21" s="2985"/>
    </row>
    <row r="22" spans="1:21">
      <c r="A22" s="2743" t="s">
        <v>925</v>
      </c>
      <c r="B22" s="1540" t="s">
        <v>1744</v>
      </c>
      <c r="C22" s="1561">
        <f>'数据-汇总表'!D3</f>
        <v>48722.92</v>
      </c>
      <c r="D22" s="1562" t="s">
        <v>1743</v>
      </c>
      <c r="E22" s="3587" t="s">
        <v>2656</v>
      </c>
      <c r="F22" s="3588"/>
      <c r="G22" s="3588"/>
      <c r="H22" s="3588"/>
      <c r="I22" s="3589"/>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590" t="s">
        <v>1749</v>
      </c>
      <c r="C24" s="3591"/>
      <c r="D24" s="3592" t="s">
        <v>1750</v>
      </c>
      <c r="E24" s="3593"/>
      <c r="F24" s="1579" t="s">
        <v>1751</v>
      </c>
      <c r="G24" s="3005"/>
      <c r="H24" s="3005"/>
      <c r="I24" s="3009"/>
      <c r="J24" s="3005"/>
      <c r="K24" s="3578"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7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7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605" t="s">
        <v>1784</v>
      </c>
      <c r="B31" s="1631" t="s">
        <v>1785</v>
      </c>
      <c r="C31" s="3603"/>
      <c r="D31" s="3604"/>
      <c r="E31" s="3005"/>
      <c r="F31" s="3005"/>
      <c r="G31" s="3005"/>
      <c r="H31" s="3005"/>
      <c r="I31" s="3009"/>
      <c r="J31" s="3005"/>
      <c r="K31" s="2991"/>
      <c r="L31" s="2985"/>
      <c r="M31" s="2985"/>
      <c r="N31" s="2985"/>
      <c r="O31" s="2985"/>
      <c r="P31" s="2985"/>
      <c r="Q31" s="2985"/>
      <c r="R31" s="2985"/>
      <c r="S31" s="2985"/>
      <c r="T31" s="2985"/>
      <c r="U31" s="2985"/>
    </row>
    <row r="32" spans="1:21">
      <c r="A32" s="3605"/>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605"/>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606"/>
      <c r="B34" s="1540" t="s">
        <v>1788</v>
      </c>
      <c r="C34" s="3607"/>
      <c r="D34" s="3608"/>
      <c r="E34" s="3005"/>
      <c r="F34" s="3005"/>
      <c r="G34" s="3005"/>
      <c r="H34" s="3005"/>
      <c r="I34" s="3009"/>
      <c r="J34" s="3005"/>
      <c r="K34" s="2991"/>
      <c r="L34" s="2985"/>
      <c r="M34" s="2985"/>
      <c r="N34" s="2985"/>
      <c r="O34" s="2985"/>
      <c r="P34" s="2985"/>
      <c r="Q34" s="2985"/>
      <c r="R34" s="2985"/>
      <c r="S34" s="2985"/>
      <c r="T34" s="2985"/>
      <c r="U34" s="2985"/>
    </row>
    <row r="35" spans="1:28">
      <c r="A35" s="3609" t="s">
        <v>821</v>
      </c>
      <c r="B35" s="1593"/>
      <c r="C35" s="1640" t="str">
        <f>IF(B35="场地平整","——","具体情况：")</f>
        <v>具体情况：</v>
      </c>
      <c r="D35" s="3611"/>
      <c r="E35" s="3612"/>
      <c r="F35" s="3612"/>
      <c r="G35" s="3612"/>
      <c r="H35" s="3612"/>
      <c r="I35" s="3613"/>
      <c r="J35" s="3005"/>
      <c r="K35" s="2992"/>
      <c r="L35" s="2984"/>
      <c r="M35" s="2984"/>
      <c r="N35" s="2985"/>
      <c r="O35" s="2986"/>
      <c r="P35" s="2985"/>
      <c r="Q35" s="2985"/>
      <c r="R35" s="2985"/>
      <c r="S35" s="2985"/>
      <c r="T35" s="2985"/>
      <c r="U35" s="2985"/>
    </row>
    <row r="36" spans="1:28">
      <c r="A36" s="3605"/>
      <c r="B36" s="3614" t="s">
        <v>1837</v>
      </c>
      <c r="C36" s="3615"/>
      <c r="D36" s="1656"/>
      <c r="E36" s="3616"/>
      <c r="F36" s="3616"/>
      <c r="G36" s="1562" t="str">
        <f>IF(B35="场地未平整","估价结果处理","")</f>
        <v/>
      </c>
      <c r="H36" s="3617"/>
      <c r="I36" s="3617"/>
      <c r="J36" s="3005"/>
      <c r="K36" s="2992"/>
      <c r="L36" s="2984"/>
      <c r="M36" s="2984"/>
      <c r="N36" s="2985"/>
      <c r="O36" s="2986"/>
      <c r="P36" s="2985"/>
      <c r="Q36" s="2985"/>
      <c r="R36" s="2985"/>
      <c r="S36" s="2985"/>
      <c r="T36" s="2985"/>
      <c r="U36" s="2985"/>
    </row>
    <row r="37" spans="1:28" ht="28.5">
      <c r="A37" s="3605"/>
      <c r="B37" s="3594"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605"/>
      <c r="B38" s="3595"/>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606"/>
      <c r="B39" s="3596"/>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77" t="s">
        <v>1768</v>
      </c>
      <c r="T40" s="1602" t="str">
        <f>NUMBERSTRING(7-K40,1)&amp;"通"</f>
        <v>七通</v>
      </c>
      <c r="U40" s="2985"/>
    </row>
    <row r="41" spans="1:28">
      <c r="A41" s="1542"/>
      <c r="B41" s="3610" t="s">
        <v>1514</v>
      </c>
      <c r="C41" s="3610"/>
      <c r="D41" s="3610"/>
      <c r="E41" s="3610"/>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77"/>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A10" workbookViewId="0">
      <selection activeCell="I41" sqref="I41"/>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8"/>
      <c r="B1" s="3618"/>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3752</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2300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19247.683400000002</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109014.55999999997</v>
      </c>
      <c r="N23" s="3519">
        <f>SUM(G28,G30,G31,G33,G34,G46,G49,G52,G58)</f>
        <v>32593.32</v>
      </c>
      <c r="O23" s="3519">
        <f>M23-N23</f>
        <v>76421.239999999962</v>
      </c>
      <c r="P23" s="3542">
        <f t="shared" ref="P23:P28" si="0">$P$21*M23/10000</f>
        <v>25073.348799999992</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3056.3457999999996</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1577.4757</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927.29100000000005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273.49760000000009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14049.499400000001</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279152.78999999992</v>
      </c>
      <c r="N29" s="3519">
        <f>SUM(N22:N28)</f>
        <v>119345.31</v>
      </c>
      <c r="O29" s="3519">
        <f>SUM(O22:O28)</f>
        <v>93501.879999999961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283262.95999999996</v>
      </c>
      <c r="P31" s="3541">
        <f>SUM(P26:P28)</f>
        <v>15250.288</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48722.92</v>
      </c>
      <c r="O32" s="3464"/>
      <c r="P32" s="3541">
        <f>P31/(M22+M23+M24+M25)*10000</f>
        <v>716.48998513910408</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0.21181731631978995</v>
      </c>
      <c r="M33" s="3464"/>
      <c r="N33" s="3464">
        <f>SUM(N31:N32)</f>
        <v>175230.31</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0.34240651631558489</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f>(G41+G42+G43)/6*4</f>
        <v>6814.7</v>
      </c>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3714.9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218068.00999999992</v>
      </c>
      <c r="H90" s="3465"/>
      <c r="I90" s="3465"/>
      <c r="J90" s="3464">
        <v>218067.94</v>
      </c>
      <c r="K90" s="3464">
        <f>G90-J90</f>
        <v>6.9999999919673428E-2</v>
      </c>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279152.78999999992</v>
      </c>
      <c r="H94" s="3465"/>
      <c r="I94" s="3465"/>
      <c r="J94" s="3464"/>
      <c r="K94" s="3464"/>
      <c r="L94" s="3464"/>
      <c r="M94" s="3464"/>
      <c r="N94" s="3464"/>
      <c r="O94" s="3464"/>
      <c r="P94" s="3464"/>
      <c r="Q94" s="3464"/>
      <c r="R94" s="3464"/>
      <c r="S94" s="3464"/>
      <c r="T94" s="3464"/>
    </row>
    <row r="95" spans="5:35">
      <c r="E95" s="3464"/>
      <c r="F95" s="3464"/>
      <c r="G95" s="3464">
        <v>279152.71999999997</v>
      </c>
      <c r="H95" s="3464"/>
      <c r="I95" s="3464"/>
      <c r="J95" s="3464"/>
      <c r="K95" s="3464"/>
      <c r="L95" s="3464"/>
      <c r="M95" s="3464"/>
      <c r="N95" s="3464"/>
      <c r="O95" s="3464"/>
      <c r="P95" s="3464"/>
      <c r="Q95" s="3464"/>
      <c r="R95" s="3464"/>
      <c r="S95" s="3464"/>
      <c r="T95" s="3464"/>
    </row>
    <row r="96" spans="5:35">
      <c r="E96" s="3464"/>
      <c r="F96" s="3464"/>
      <c r="G96" s="3464">
        <f>G95-G94</f>
        <v>-6.9999999948777258E-2</v>
      </c>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C36" sqref="AC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项目情况!G2+项目情况!G3</f>
        <v>145463.80000000002</v>
      </c>
      <c r="B3" s="22">
        <f>IF(C3="否",G5-AT5,G5)</f>
        <v>279152.78999999992</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279152.78999999992</v>
      </c>
      <c r="H5" s="27">
        <f t="shared" ref="H5:AT5" si="0">SUM(H13:H641)</f>
        <v>273931.96999999997</v>
      </c>
      <c r="I5" s="27">
        <f t="shared" si="0"/>
        <v>205988.59999999995</v>
      </c>
      <c r="J5" s="27">
        <f t="shared" si="0"/>
        <v>119345.31</v>
      </c>
      <c r="K5" s="27">
        <f t="shared" si="0"/>
        <v>6858.59</v>
      </c>
      <c r="L5" s="27">
        <f t="shared" si="0"/>
        <v>0</v>
      </c>
      <c r="M5" s="27">
        <f t="shared" si="0"/>
        <v>61084.78</v>
      </c>
      <c r="N5" s="27">
        <f t="shared" si="0"/>
        <v>61084.78</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5220.82</v>
      </c>
      <c r="AD5" s="27">
        <f t="shared" si="0"/>
        <v>4031.7</v>
      </c>
      <c r="AE5" s="27">
        <f t="shared" si="0"/>
        <v>4031.7</v>
      </c>
      <c r="AF5" s="27">
        <f t="shared" si="0"/>
        <v>0</v>
      </c>
      <c r="AG5" s="27">
        <f t="shared" si="0"/>
        <v>0</v>
      </c>
      <c r="AH5" s="27">
        <f t="shared" si="0"/>
        <v>0</v>
      </c>
      <c r="AI5" s="27">
        <f t="shared" si="0"/>
        <v>0</v>
      </c>
      <c r="AJ5" s="27">
        <f t="shared" si="0"/>
        <v>0</v>
      </c>
      <c r="AK5" s="27">
        <f t="shared" si="0"/>
        <v>0</v>
      </c>
      <c r="AL5" s="27">
        <f t="shared" si="0"/>
        <v>1189.1200000000003</v>
      </c>
      <c r="AM5" s="27">
        <f t="shared" si="0"/>
        <v>1189.1200000000003</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93501.879999999961</v>
      </c>
      <c r="BA5" s="29">
        <f t="shared" si="1"/>
        <v>93501.879999999961</v>
      </c>
      <c r="BB5" s="29">
        <f t="shared" si="1"/>
        <v>86643.289999999964</v>
      </c>
      <c r="BC5" s="29">
        <f t="shared" si="1"/>
        <v>6858.59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145463.78999999998</v>
      </c>
      <c r="F6" s="27" t="s">
        <v>1</v>
      </c>
      <c r="G6" s="27" t="s">
        <v>2</v>
      </c>
      <c r="H6" s="33">
        <f>SUMIF(I$12:AB$12,"总值",I6:AB6)</f>
        <v>142743.26999999999</v>
      </c>
      <c r="I6" s="27">
        <f t="shared" ref="I6:AB6" si="2">ROUND($A$3*I5/$B$3,2)</f>
        <v>107338.65</v>
      </c>
      <c r="J6" s="27">
        <f t="shared" si="2"/>
        <v>62189.68</v>
      </c>
      <c r="K6" s="27">
        <f t="shared" si="2"/>
        <v>3573.94</v>
      </c>
      <c r="L6" s="27">
        <f t="shared" si="2"/>
        <v>0</v>
      </c>
      <c r="M6" s="27">
        <f t="shared" si="2"/>
        <v>31830.68</v>
      </c>
      <c r="N6" s="27">
        <f t="shared" si="2"/>
        <v>31830.68</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2720.52</v>
      </c>
      <c r="AD6" s="27">
        <f t="shared" ref="AD6:AS6" si="3">ROUND($A$3*AD5/$B$3,2)</f>
        <v>2100.88</v>
      </c>
      <c r="AE6" s="27">
        <f t="shared" si="3"/>
        <v>2100.88</v>
      </c>
      <c r="AF6" s="27">
        <f t="shared" si="3"/>
        <v>0</v>
      </c>
      <c r="AG6" s="27">
        <f t="shared" si="3"/>
        <v>0</v>
      </c>
      <c r="AH6" s="27">
        <f t="shared" si="3"/>
        <v>0</v>
      </c>
      <c r="AI6" s="27">
        <f t="shared" si="3"/>
        <v>0</v>
      </c>
      <c r="AJ6" s="27">
        <f t="shared" si="3"/>
        <v>0</v>
      </c>
      <c r="AK6" s="27">
        <f t="shared" si="3"/>
        <v>0</v>
      </c>
      <c r="AL6" s="27">
        <f t="shared" si="3"/>
        <v>619.64</v>
      </c>
      <c r="AM6" s="27">
        <f t="shared" si="3"/>
        <v>619.64</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48722.92</v>
      </c>
      <c r="AZ6" s="27" t="s">
        <v>3</v>
      </c>
      <c r="BA6" s="27">
        <f>ROUND($AY$6*BA5/$AZ$5,2)</f>
        <v>48722.92</v>
      </c>
      <c r="BB6" s="27">
        <f>ROUND($AY$6*BB5/$AZ$5,2)</f>
        <v>45148.98</v>
      </c>
      <c r="BC6" s="27">
        <f t="shared" ref="BC6:BH6" si="4">ROUND($AY$6*BC5/$AZ$5,2)</f>
        <v>3573.94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43607.74</v>
      </c>
      <c r="F13" s="81"/>
      <c r="G13" s="82">
        <f t="shared" ref="G13:G20" si="7">H13+AC13+AT13</f>
        <v>83685.58</v>
      </c>
      <c r="H13" s="33">
        <f t="shared" ref="H13:H20" si="8">SUMIF(I$12:AB$12,"总值",I13:AB13)</f>
        <v>83685.58</v>
      </c>
      <c r="I13" s="83">
        <f>项目情况!M22</f>
        <v>83685.58</v>
      </c>
      <c r="J13" s="83">
        <f>项目情况!N22</f>
        <v>83685.58</v>
      </c>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t="str">
        <f>项目情况!L23</f>
        <v>多层住宅</v>
      </c>
      <c r="D14" s="2673" t="s">
        <v>1472</v>
      </c>
      <c r="E14" s="27">
        <f t="shared" si="6"/>
        <v>56806.43</v>
      </c>
      <c r="F14" s="81"/>
      <c r="G14" s="82">
        <f t="shared" si="7"/>
        <v>109014.55999999997</v>
      </c>
      <c r="H14" s="33">
        <f t="shared" si="8"/>
        <v>109014.55999999997</v>
      </c>
      <c r="I14" s="83">
        <f>项目情况!M23</f>
        <v>109014.55999999997</v>
      </c>
      <c r="J14" s="83">
        <f>项目情况!N23</f>
        <v>32593.32</v>
      </c>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t="str">
        <f t="shared" si="10"/>
        <v>多层住宅</v>
      </c>
      <c r="AY14" s="965">
        <f t="shared" si="11"/>
        <v>39822.36</v>
      </c>
      <c r="AZ14" s="27">
        <f t="shared" si="12"/>
        <v>76421.239999999962</v>
      </c>
      <c r="BA14" s="27">
        <f t="shared" si="13"/>
        <v>76421.239999999962</v>
      </c>
      <c r="BB14" s="27">
        <f t="shared" si="14"/>
        <v>76421.239999999962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t="str">
        <f>项目情况!L24</f>
        <v>低密度住宅</v>
      </c>
      <c r="D15" s="2673" t="s">
        <v>1472</v>
      </c>
      <c r="E15" s="27">
        <f t="shared" si="6"/>
        <v>6924.49</v>
      </c>
      <c r="F15" s="81"/>
      <c r="G15" s="82">
        <f t="shared" si="7"/>
        <v>13288.46</v>
      </c>
      <c r="H15" s="33">
        <f t="shared" si="8"/>
        <v>13288.46</v>
      </c>
      <c r="I15" s="83">
        <f>项目情况!M24</f>
        <v>13288.46</v>
      </c>
      <c r="J15" s="83">
        <f>项目情况!N24</f>
        <v>3066.41</v>
      </c>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t="str">
        <f t="shared" si="10"/>
        <v>低密度住宅</v>
      </c>
      <c r="AY15" s="965">
        <f t="shared" si="11"/>
        <v>5326.61</v>
      </c>
      <c r="AZ15" s="27">
        <f t="shared" si="12"/>
        <v>10222.049999999999</v>
      </c>
      <c r="BA15" s="27">
        <f t="shared" si="13"/>
        <v>10222.049999999999</v>
      </c>
      <c r="BB15" s="27">
        <f t="shared" si="14"/>
        <v>10222.049999999999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t="str">
        <f>项目情况!L25</f>
        <v>商业</v>
      </c>
      <c r="D16" s="2673" t="s">
        <v>1472</v>
      </c>
      <c r="E16" s="27">
        <f t="shared" si="6"/>
        <v>3573.94</v>
      </c>
      <c r="F16" s="81"/>
      <c r="G16" s="82">
        <f t="shared" si="7"/>
        <v>6858.59</v>
      </c>
      <c r="H16" s="33">
        <f t="shared" si="8"/>
        <v>6858.59</v>
      </c>
      <c r="I16" s="83"/>
      <c r="J16" s="83"/>
      <c r="K16" s="83">
        <f>项目情况!M25</f>
        <v>6858.59</v>
      </c>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t="str">
        <f t="shared" si="10"/>
        <v>商业</v>
      </c>
      <c r="AY16" s="965">
        <f t="shared" si="11"/>
        <v>3573.94</v>
      </c>
      <c r="AZ16" s="27">
        <f t="shared" si="12"/>
        <v>6858.59</v>
      </c>
      <c r="BA16" s="27">
        <f t="shared" si="13"/>
        <v>6858.59</v>
      </c>
      <c r="BB16" s="27">
        <f t="shared" si="14"/>
        <v>0</v>
      </c>
      <c r="BC16" s="27">
        <f t="shared" si="15"/>
        <v>6858.59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t="str">
        <f>项目情况!L26</f>
        <v>配套</v>
      </c>
      <c r="D17" s="2673" t="s">
        <v>1472</v>
      </c>
      <c r="E17" s="27">
        <f t="shared" si="6"/>
        <v>2100.88</v>
      </c>
      <c r="F17" s="81"/>
      <c r="G17" s="82">
        <f t="shared" si="7"/>
        <v>4031.7</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4031.7</v>
      </c>
      <c r="AD17" s="83">
        <f>项目情况!M26</f>
        <v>4031.7</v>
      </c>
      <c r="AE17" s="83">
        <f>AD17</f>
        <v>4031.7</v>
      </c>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t="str">
        <f t="shared" si="10"/>
        <v>配套</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t="str">
        <f>项目情况!L27</f>
        <v>设备</v>
      </c>
      <c r="D18" s="2673" t="s">
        <v>1472</v>
      </c>
      <c r="E18" s="87">
        <f t="shared" si="6"/>
        <v>619.64</v>
      </c>
      <c r="F18" s="88"/>
      <c r="G18" s="89">
        <f t="shared" si="7"/>
        <v>1189.1200000000003</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1189.1200000000003</v>
      </c>
      <c r="AD18" s="83"/>
      <c r="AE18" s="83"/>
      <c r="AF18" s="83"/>
      <c r="AG18" s="83"/>
      <c r="AH18" s="83"/>
      <c r="AI18" s="83"/>
      <c r="AJ18" s="83"/>
      <c r="AK18" s="83"/>
      <c r="AL18" s="83">
        <f>项目情况!M27</f>
        <v>1189.1200000000003</v>
      </c>
      <c r="AM18" s="83">
        <f>AL18</f>
        <v>1189.1200000000003</v>
      </c>
      <c r="AN18" s="83"/>
      <c r="AO18" s="92"/>
      <c r="AP18" s="92"/>
      <c r="AQ18" s="92"/>
      <c r="AR18" s="92"/>
      <c r="AS18" s="92"/>
      <c r="AT18" s="93"/>
      <c r="AU18" s="94"/>
      <c r="AV18" s="961">
        <f t="shared" si="10"/>
        <v>0</v>
      </c>
      <c r="AW18" s="961">
        <f t="shared" si="10"/>
        <v>0</v>
      </c>
      <c r="AX18" s="961" t="str">
        <f t="shared" si="10"/>
        <v>设备</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t="str">
        <f>项目情况!L28</f>
        <v>地下车库</v>
      </c>
      <c r="D19" s="2673" t="s">
        <v>1472</v>
      </c>
      <c r="E19" s="87">
        <f t="shared" si="6"/>
        <v>31830.68</v>
      </c>
      <c r="F19" s="88"/>
      <c r="G19" s="89">
        <f t="shared" si="7"/>
        <v>61084.78</v>
      </c>
      <c r="H19" s="90">
        <f t="shared" si="8"/>
        <v>61084.78</v>
      </c>
      <c r="I19" s="1296"/>
      <c r="J19" s="91"/>
      <c r="K19" s="1296"/>
      <c r="L19" s="91"/>
      <c r="M19" s="83">
        <f>项目情况!M28</f>
        <v>61084.78</v>
      </c>
      <c r="N19" s="91">
        <f>M19</f>
        <v>61084.78</v>
      </c>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t="str">
        <f t="shared" si="10"/>
        <v>地下车库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9" t="s">
        <v>0</v>
      </c>
      <c r="B1" s="3619" t="s">
        <v>4</v>
      </c>
      <c r="C1" s="3619" t="s">
        <v>5</v>
      </c>
      <c r="D1" s="3620" t="s">
        <v>40</v>
      </c>
      <c r="E1" s="3620" t="s">
        <v>41</v>
      </c>
      <c r="F1" s="3620"/>
      <c r="G1" s="3620"/>
      <c r="H1" s="3620"/>
      <c r="I1" s="3620"/>
      <c r="J1" s="3620"/>
      <c r="K1" s="3620"/>
      <c r="L1" s="3620"/>
      <c r="M1" s="3620"/>
    </row>
    <row r="2" spans="1:13" ht="27" customHeight="1">
      <c r="A2" s="3619"/>
      <c r="B2" s="3619"/>
      <c r="C2" s="3619"/>
      <c r="D2" s="3620"/>
      <c r="E2" s="3620" t="s">
        <v>24</v>
      </c>
      <c r="F2" s="3620" t="s">
        <v>25</v>
      </c>
      <c r="G2" s="3620"/>
      <c r="H2" s="3620"/>
      <c r="I2" s="3620"/>
      <c r="J2" s="3620" t="s">
        <v>26</v>
      </c>
      <c r="K2" s="3620"/>
      <c r="L2" s="3620"/>
      <c r="M2" s="3620"/>
    </row>
    <row r="3" spans="1:13" ht="28.5">
      <c r="A3" s="3619"/>
      <c r="B3" s="3619"/>
      <c r="C3" s="3619"/>
      <c r="D3" s="3620"/>
      <c r="E3" s="36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0" t="s">
        <v>42</v>
      </c>
      <c r="B9" s="3620"/>
      <c r="C9" s="36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21" sqref="F21"/>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30" t="s">
        <v>202</v>
      </c>
      <c r="B2" s="3630"/>
      <c r="C2" s="3630"/>
      <c r="D2" s="1838" t="s">
        <v>203</v>
      </c>
      <c r="E2" s="106" t="s">
        <v>204</v>
      </c>
      <c r="F2" s="3014"/>
      <c r="G2" s="1143"/>
      <c r="H2" s="1144"/>
      <c r="I2" s="1145" t="s">
        <v>831</v>
      </c>
      <c r="J2" s="3014"/>
      <c r="K2" s="3014"/>
      <c r="L2" s="3014"/>
      <c r="M2" s="3014"/>
      <c r="N2" s="3014"/>
      <c r="O2" s="3014"/>
      <c r="P2" s="3014"/>
    </row>
    <row r="3" spans="1:16" ht="15.75" thickBot="1">
      <c r="A3" s="3631" t="s">
        <v>205</v>
      </c>
      <c r="B3" s="3631"/>
      <c r="C3" s="3631"/>
      <c r="D3" s="107">
        <f>'数据-基础表'!AY6</f>
        <v>48722.92</v>
      </c>
      <c r="E3" s="107">
        <f>'数据-基础表'!AZ5</f>
        <v>93501.879999999961</v>
      </c>
      <c r="F3" s="3014"/>
      <c r="G3" s="277" t="s">
        <v>832</v>
      </c>
      <c r="H3" s="272" t="s">
        <v>833</v>
      </c>
      <c r="I3" s="1839">
        <f>ROUND('数据-基础表'!B3/'数据-基础表'!A3,2)</f>
        <v>1.92</v>
      </c>
      <c r="J3" s="3014"/>
      <c r="K3" s="3014"/>
      <c r="L3" s="3014"/>
      <c r="M3" s="3014"/>
      <c r="N3" s="3014"/>
      <c r="O3" s="3014"/>
      <c r="P3" s="3014"/>
    </row>
    <row r="4" spans="1:16" ht="15">
      <c r="A4" s="3632"/>
      <c r="B4" s="3633"/>
      <c r="C4" s="3634"/>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5" t="s">
        <v>229</v>
      </c>
      <c r="C5" s="3635"/>
      <c r="D5" s="111">
        <f>ROUND($D$3*E5/$E$3,2)</f>
        <v>45148.98</v>
      </c>
      <c r="E5" s="112">
        <f>SUMIF('数据-基础表'!$11:$11,"住宅",'数据-基础表'!$5:$5)</f>
        <v>86643.289999999964</v>
      </c>
      <c r="F5" s="3014"/>
      <c r="G5" s="277" t="s">
        <v>835</v>
      </c>
      <c r="H5" s="272" t="s">
        <v>833</v>
      </c>
      <c r="I5" s="1839">
        <f>ROUND(E31/D31,2)</f>
        <v>1.92</v>
      </c>
      <c r="J5" s="3014"/>
      <c r="K5" s="3014"/>
      <c r="L5" s="3014"/>
      <c r="M5" s="3014"/>
      <c r="N5" s="3014"/>
      <c r="O5" s="3014"/>
      <c r="P5" s="3014"/>
    </row>
    <row r="6" spans="1:16" ht="15" thickBot="1">
      <c r="A6" s="113"/>
      <c r="B6" s="3635" t="s">
        <v>207</v>
      </c>
      <c r="C6" s="3635"/>
      <c r="D6" s="111">
        <f>ROUND($D$3*E6/$E$3,2)</f>
        <v>3573.94</v>
      </c>
      <c r="E6" s="112">
        <f>E3-E5</f>
        <v>6858.5899999999965</v>
      </c>
      <c r="F6" s="3014"/>
      <c r="G6" s="1146"/>
      <c r="H6" s="272" t="s">
        <v>834</v>
      </c>
      <c r="I6" s="1839">
        <f>ROUND(F31/D31,2)</f>
        <v>1.92</v>
      </c>
      <c r="J6" s="3014"/>
      <c r="K6" s="3014"/>
      <c r="L6" s="3014"/>
      <c r="M6" s="3014"/>
      <c r="N6" s="3014"/>
      <c r="O6" s="3014"/>
      <c r="P6" s="3014"/>
    </row>
    <row r="7" spans="1:16" ht="15">
      <c r="A7" s="3627"/>
      <c r="B7" s="3628"/>
      <c r="C7" s="3629"/>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48722.92</v>
      </c>
      <c r="E8" s="116">
        <f>SUMIF('数据-基础表'!BB10:BK10,"地上",'数据-基础表'!BB5:BK5)</f>
        <v>93501.879999999961</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48722.92</v>
      </c>
      <c r="E16" s="120">
        <f>SUM(E8:E15)</f>
        <v>93501.879999999961</v>
      </c>
      <c r="F16" s="3014"/>
      <c r="G16" s="3015"/>
      <c r="H16" s="937" t="s">
        <v>218</v>
      </c>
      <c r="I16" s="938"/>
      <c r="J16" s="1847"/>
      <c r="K16" s="3621" t="s">
        <v>2336</v>
      </c>
      <c r="L16" s="3622"/>
      <c r="M16" s="3622"/>
      <c r="N16" s="3622"/>
      <c r="O16" s="3622"/>
      <c r="P16" s="3623"/>
    </row>
    <row r="17" spans="1:19" ht="15">
      <c r="A17" s="121" t="s">
        <v>215</v>
      </c>
      <c r="B17" s="122" t="s">
        <v>216</v>
      </c>
      <c r="C17" s="2126" t="s">
        <v>2094</v>
      </c>
      <c r="D17" s="108" t="s">
        <v>203</v>
      </c>
      <c r="E17" s="124" t="s">
        <v>204</v>
      </c>
      <c r="F17" s="125"/>
      <c r="G17" s="1272"/>
      <c r="H17" s="939" t="s">
        <v>217</v>
      </c>
      <c r="I17" s="940" t="s">
        <v>2093</v>
      </c>
      <c r="J17" s="1847"/>
      <c r="K17" s="3624" t="s">
        <v>2337</v>
      </c>
      <c r="L17" s="3625"/>
      <c r="M17" s="3626"/>
      <c r="N17" s="3624" t="s">
        <v>2338</v>
      </c>
      <c r="O17" s="3625"/>
      <c r="P17" s="3626"/>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f>'数据-基础表'!I13-'数据-基础表'!J13</f>
        <v>0</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39822.36</v>
      </c>
      <c r="E20" s="134">
        <f t="shared" si="2"/>
        <v>76421.239999999962</v>
      </c>
      <c r="F20" s="3016">
        <f>'数据-基础表'!I14-'数据-基础表'!J14</f>
        <v>76421.239999999962</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39822.36</v>
      </c>
      <c r="S20" s="2129">
        <f t="shared" si="5"/>
        <v>76421.239999999962</v>
      </c>
    </row>
    <row r="21" spans="1:19">
      <c r="A21" s="137"/>
      <c r="B21" s="115" t="s">
        <v>225</v>
      </c>
      <c r="C21" s="2681" t="s">
        <v>3324</v>
      </c>
      <c r="D21" s="111">
        <f t="shared" si="1"/>
        <v>5326.61</v>
      </c>
      <c r="E21" s="134">
        <f t="shared" si="2"/>
        <v>10222.049999999999</v>
      </c>
      <c r="F21" s="3016">
        <f>'数据-基础表'!I15-'数据-基础表'!J15</f>
        <v>10222.049999999999</v>
      </c>
      <c r="G21" s="3017"/>
      <c r="H21" s="943">
        <f t="shared" si="6"/>
        <v>0</v>
      </c>
      <c r="I21" s="116">
        <f t="shared" si="7"/>
        <v>0</v>
      </c>
      <c r="J21" s="1847"/>
      <c r="K21" s="2397">
        <f t="shared" si="3"/>
        <v>0</v>
      </c>
      <c r="L21" s="272">
        <f t="shared" si="4"/>
        <v>0</v>
      </c>
      <c r="M21" s="2398">
        <f t="shared" si="8"/>
        <v>0</v>
      </c>
      <c r="N21" s="2399"/>
      <c r="O21" s="2400"/>
      <c r="P21" s="2401">
        <f t="shared" si="9"/>
        <v>0</v>
      </c>
      <c r="R21" s="272">
        <f t="shared" si="5"/>
        <v>5326.61</v>
      </c>
      <c r="S21" s="2129">
        <f t="shared" si="5"/>
        <v>10222.049999999999</v>
      </c>
    </row>
    <row r="22" spans="1:19">
      <c r="A22" s="137"/>
      <c r="B22" s="115" t="s">
        <v>225</v>
      </c>
      <c r="C22" s="2681" t="s">
        <v>3318</v>
      </c>
      <c r="D22" s="111">
        <f t="shared" si="1"/>
        <v>3573.94</v>
      </c>
      <c r="E22" s="134">
        <f t="shared" si="2"/>
        <v>6858.59</v>
      </c>
      <c r="F22" s="3018">
        <f>'数据-基础表'!K16</f>
        <v>6858.59</v>
      </c>
      <c r="G22" s="3019"/>
      <c r="H22" s="943">
        <f t="shared" si="6"/>
        <v>0</v>
      </c>
      <c r="I22" s="116">
        <f t="shared" si="7"/>
        <v>0</v>
      </c>
      <c r="J22" s="1847"/>
      <c r="K22" s="2397">
        <f t="shared" si="3"/>
        <v>0</v>
      </c>
      <c r="L22" s="272">
        <f t="shared" si="4"/>
        <v>0</v>
      </c>
      <c r="M22" s="2398">
        <f t="shared" si="8"/>
        <v>0</v>
      </c>
      <c r="N22" s="2399"/>
      <c r="O22" s="2400"/>
      <c r="P22" s="2401">
        <f t="shared" si="9"/>
        <v>0</v>
      </c>
      <c r="R22" s="272">
        <f t="shared" si="5"/>
        <v>3573.94</v>
      </c>
      <c r="S22" s="2129">
        <f t="shared" si="5"/>
        <v>6858.59</v>
      </c>
    </row>
    <row r="23" spans="1:19">
      <c r="A23" s="137"/>
      <c r="B23" s="115" t="s">
        <v>225</v>
      </c>
      <c r="C23" s="2681" t="str">
        <f>'数据-基础表'!C19</f>
        <v>地下车库</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29.25" thickBot="1">
      <c r="A27" s="137"/>
      <c r="B27" s="111"/>
      <c r="C27" s="127" t="s">
        <v>214</v>
      </c>
      <c r="D27" s="134">
        <f>SUM(D19:D26)</f>
        <v>48722.91</v>
      </c>
      <c r="E27" s="141">
        <f>IF(SUM(E19:E26)='数据-基础表'!BA5,SUM(E19:E26),IF(F27="地上面积有误","面积有误","地下面积有误"))</f>
        <v>93501.879999999961</v>
      </c>
      <c r="F27" s="134">
        <f>IF(SUM(F19:F26)=E8,SUM(F19:F26),"地上面积有误")</f>
        <v>93501.879999999961</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t="str">
        <f>IF(SUM(R19:R26)=$D$3,SUM(R19:R26),SUM(R19:R26)&amp;"误差"&amp;ROUND(SUM(R19:R26)-$D$3,2))</f>
        <v>48722.91误差-0.01</v>
      </c>
      <c r="S27" s="272">
        <f>IF(SUM(S19:S26)=$E$3,SUM(S19:S26),SUM(S19:S26)&amp;"误差"&amp;ROUND(SUM(S19:S26)-E3,2))</f>
        <v>93501.879999999961</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48722.91</v>
      </c>
      <c r="E31" s="1276">
        <f>E27+E30</f>
        <v>93501.879999999961</v>
      </c>
      <c r="F31" s="1277">
        <f>F27+F30</f>
        <v>93501.879999999961</v>
      </c>
      <c r="G31" s="1278">
        <f>G27+G30</f>
        <v>0</v>
      </c>
      <c r="H31" s="3014"/>
      <c r="I31" s="3014"/>
      <c r="J31" s="3014"/>
      <c r="K31" s="3014"/>
      <c r="L31" s="3014"/>
      <c r="M31" s="3014"/>
      <c r="N31" s="3014"/>
      <c r="O31" s="3014"/>
      <c r="P31" s="3014"/>
    </row>
    <row r="32" spans="1:19">
      <c r="A32" s="1847"/>
      <c r="B32" s="2170" t="s">
        <v>2102</v>
      </c>
      <c r="C32" s="2434"/>
      <c r="D32" s="1146"/>
      <c r="E32" s="1146">
        <f>SUMIF(C19:C26,"*住宅*",E19:E26)</f>
        <v>86643.289999999964</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5" activePane="bottomRight" state="frozen"/>
      <selection pane="topRight" activeCell="D1" sqref="D1"/>
      <selection pane="bottomLeft" activeCell="A4" sqref="A4"/>
      <selection pane="bottomRight" activeCell="L46" sqref="L46"/>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54">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69274</v>
      </c>
      <c r="F6" s="172">
        <f>SUMIF(项目基本情况!D$15:I$15,C6,项目基本情况!D$19:I$19)</f>
        <v>66.56</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0.92700000000000005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69274</v>
      </c>
      <c r="F7" s="172">
        <f>SUMIF(项目基本情况!D$15:I$15,C7,项目基本情况!D$19:I$19)</f>
        <v>66.56</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76421.239999999962</v>
      </c>
      <c r="L7" s="2683">
        <f>L6</f>
        <v>3000</v>
      </c>
      <c r="M7" s="175">
        <f t="shared" si="0"/>
        <v>22926</v>
      </c>
      <c r="N7" s="2684">
        <v>0</v>
      </c>
      <c r="O7" s="175">
        <f t="shared" ref="O7:O14" si="3">IF($N$5="成新度","——",ROUND(M7*N7,0))</f>
        <v>0</v>
      </c>
      <c r="P7" s="176">
        <f t="shared" ref="P7:P14" si="4">IF($N$5="成新度","——",M7-O7)</f>
        <v>22926</v>
      </c>
      <c r="Q7" s="2685">
        <f>Q6</f>
        <v>0.1</v>
      </c>
      <c r="R7" s="177">
        <f>SUMIF('数据-汇总表'!C$19:C$33,A7,'数据-汇总表'!R$19:R$33)</f>
        <v>39822.36</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0.92700000000000005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69274</v>
      </c>
      <c r="F8" s="172">
        <f>SUMIF(项目基本情况!D$15:I$15,C8,项目基本情况!D$19:I$19)</f>
        <v>66.56</v>
      </c>
      <c r="G8" s="173">
        <f t="shared" si="2"/>
        <v>0.99</v>
      </c>
      <c r="H8" s="2682">
        <v>0.04</v>
      </c>
      <c r="I8" s="2682">
        <v>4.4999999999999998E-2</v>
      </c>
      <c r="J8" s="174">
        <v>7.4999999999999997E-2</v>
      </c>
      <c r="K8" s="177">
        <f>SUMIF('数据-汇总表'!C$19:C$33,'数据-取费表'!A8,'数据-汇总表'!E$19:E$33)</f>
        <v>10222.049999999999</v>
      </c>
      <c r="L8" s="2683">
        <f>L7</f>
        <v>3000</v>
      </c>
      <c r="M8" s="175">
        <f>ROUND(K8*L8/10000,0)</f>
        <v>3067</v>
      </c>
      <c r="N8" s="2684">
        <v>0</v>
      </c>
      <c r="O8" s="175">
        <f t="shared" si="3"/>
        <v>0</v>
      </c>
      <c r="P8" s="176">
        <f t="shared" si="4"/>
        <v>3067</v>
      </c>
      <c r="Q8" s="2685">
        <f>Q6</f>
        <v>0.1</v>
      </c>
      <c r="R8" s="177">
        <f>SUMIF('数据-汇总表'!C$19:C$33,A8,'数据-汇总表'!R$19:R$33)</f>
        <v>5326.61</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0.92700000000000005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58316</v>
      </c>
      <c r="F9" s="172">
        <f>SUMIF(项目基本情况!D$15:I$15,C9,项目基本情况!D$19:I$19)</f>
        <v>36.54</v>
      </c>
      <c r="G9" s="173">
        <f t="shared" si="2"/>
        <v>0.97</v>
      </c>
      <c r="H9" s="174">
        <v>0.05</v>
      </c>
      <c r="I9" s="174">
        <v>5.5E-2</v>
      </c>
      <c r="J9" s="174">
        <v>7.4999999999999997E-2</v>
      </c>
      <c r="K9" s="177">
        <f>SUMIF('数据-汇总表'!C$19:C$33,'数据-取费表'!A9,'数据-汇总表'!E$19:E$33)</f>
        <v>6858.59</v>
      </c>
      <c r="L9" s="2683">
        <f>L8</f>
        <v>3000</v>
      </c>
      <c r="M9" s="175">
        <f t="shared" si="0"/>
        <v>2058</v>
      </c>
      <c r="N9" s="191">
        <v>0</v>
      </c>
      <c r="O9" s="175">
        <f t="shared" si="3"/>
        <v>0</v>
      </c>
      <c r="P9" s="176">
        <f t="shared" si="4"/>
        <v>2058</v>
      </c>
      <c r="Q9" s="190">
        <v>0.15</v>
      </c>
      <c r="R9" s="177">
        <f>SUMIF('数据-汇总表'!C$19:C$33,A9,'数据-汇总表'!R$19:R$33)</f>
        <v>3573.94</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36.54</v>
      </c>
      <c r="AF9" s="139"/>
      <c r="AG9" s="1158">
        <f t="shared" si="7"/>
        <v>0</v>
      </c>
      <c r="AH9" s="139"/>
      <c r="AI9" s="185">
        <v>365</v>
      </c>
      <c r="AJ9" s="186"/>
      <c r="AK9" s="187">
        <v>0.01</v>
      </c>
      <c r="AL9" s="188">
        <v>1E-3</v>
      </c>
      <c r="AM9" s="2193">
        <v>0.01</v>
      </c>
      <c r="AN9" s="2195" t="s">
        <v>3699</v>
      </c>
      <c r="AO9" s="3024"/>
      <c r="AP9" s="1149">
        <f t="shared" si="8"/>
        <v>0.83199999999999996</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t="str">
        <f>'数据-汇总表'!C23</f>
        <v>地下车库</v>
      </c>
      <c r="B10" s="2165" t="str">
        <f t="shared" si="1"/>
        <v>经营性</v>
      </c>
      <c r="C10" s="171" t="s">
        <v>3321</v>
      </c>
      <c r="D10" s="2136">
        <f>SUMIF(项目基本情况!D$15:I$15,C10,项目基本情况!D$18:I$18)</f>
        <v>50</v>
      </c>
      <c r="E10" s="2137">
        <f>IF(B10="","",SUMIF(项目基本情况!D$15:I$15,C10,项目基本情况!D$17:I$17))</f>
        <v>61969</v>
      </c>
      <c r="F10" s="172">
        <f>SUMIF(项目基本情况!D$15:I$15,C10,项目基本情况!D$19:I$19)</f>
        <v>46.55</v>
      </c>
      <c r="G10" s="173">
        <f t="shared" si="2"/>
        <v>0.98</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f t="shared" ca="1" si="6"/>
        <v>46.55</v>
      </c>
      <c r="AF10" s="139"/>
      <c r="AG10" s="1158">
        <f t="shared" si="7"/>
        <v>0</v>
      </c>
      <c r="AH10" s="139">
        <v>1745</v>
      </c>
      <c r="AI10" s="185">
        <v>12</v>
      </c>
      <c r="AJ10" s="186"/>
      <c r="AK10" s="187">
        <v>0.01</v>
      </c>
      <c r="AL10" s="188">
        <v>1E-3</v>
      </c>
      <c r="AM10" s="2193">
        <v>0.01</v>
      </c>
      <c r="AN10" s="2195" t="s">
        <v>3703</v>
      </c>
      <c r="AO10" s="3024"/>
      <c r="AP10" s="1149">
        <f t="shared" si="8"/>
        <v>0.871</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0.98899999999999999</v>
      </c>
      <c r="H16" s="200">
        <f>ROUND(SUMPRODUCT(H6:H13,K6:K13)/SUMPRODUCT((H6:H13&gt;0)*(K6:K13)),3)</f>
        <v>4.1000000000000002E-2</v>
      </c>
      <c r="I16" s="201"/>
      <c r="J16" s="201"/>
      <c r="K16" s="202">
        <f>SUM(K6:K15)</f>
        <v>93501.879999999961</v>
      </c>
      <c r="L16" s="203">
        <f>ROUND(M16*10000/SUM(K6:K14),0)</f>
        <v>3000</v>
      </c>
      <c r="M16" s="203">
        <f>SUM(M6:M14)</f>
        <v>28051</v>
      </c>
      <c r="N16" s="204">
        <f>ROUND(SUMPRODUCT(M6:M14,N6:N14)/M16,3)</f>
        <v>0</v>
      </c>
      <c r="O16" s="203">
        <f>SUM(O6:O14)</f>
        <v>0</v>
      </c>
      <c r="P16" s="203">
        <f>SUM(P6:P14)</f>
        <v>28051</v>
      </c>
      <c r="Q16" s="205">
        <f>ROUND(SUMPRODUCT(Q6:Q13,K6:K13)/SUMPRODUCT((Q6:Q13&gt;0)*(K6:K13)),2)</f>
        <v>0.1</v>
      </c>
      <c r="R16" s="2139">
        <f>SUM(R6:R13)</f>
        <v>48722.91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2.5</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6" t="s">
        <v>1457</v>
      </c>
      <c r="B1" s="3637"/>
      <c r="C1" s="3637"/>
      <c r="D1" s="3637"/>
      <c r="E1" s="3637"/>
      <c r="F1" s="3637"/>
      <c r="G1" s="3637"/>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22" sqref="K22"/>
    </sheetView>
  </sheetViews>
  <sheetFormatPr defaultColWidth="14.625" defaultRowHeight="13.5"/>
  <cols>
    <col min="1" max="1" width="24.375" style="3118" customWidth="1"/>
    <col min="2" max="16384" width="14.625" style="3118"/>
  </cols>
  <sheetData>
    <row r="1" spans="1:10" ht="16.5">
      <c r="A1" s="3117" t="s">
        <v>2609</v>
      </c>
      <c r="B1" s="3117">
        <f>SUM(B14:B23)</f>
        <v>283262.95999999996</v>
      </c>
      <c r="C1" s="3126"/>
      <c r="D1" s="3126"/>
      <c r="E1" s="3126"/>
      <c r="F1" s="3126"/>
      <c r="G1" s="3127"/>
      <c r="H1" s="3127"/>
      <c r="I1" s="3127"/>
      <c r="J1" s="3127"/>
    </row>
    <row r="2" spans="1:10" ht="16.5">
      <c r="A2" s="3117" t="s">
        <v>2610</v>
      </c>
      <c r="B2" s="3117">
        <f>SUM(C14:C23)</f>
        <v>175230.31</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59172</v>
      </c>
      <c r="C5" s="3117">
        <f ca="1">ROUND(B5*10000/$B$1,0)</f>
        <v>2089</v>
      </c>
      <c r="D5" s="3117">
        <f ca="1">ROUND(B5*10000/$B$2,0)</f>
        <v>3377</v>
      </c>
      <c r="E5" s="3126"/>
      <c r="F5" s="3126"/>
      <c r="G5" s="3127"/>
      <c r="H5" s="3127"/>
      <c r="I5" s="3127"/>
      <c r="J5" s="3127"/>
    </row>
    <row r="6" spans="1:10" ht="16.5">
      <c r="A6" s="3117" t="s">
        <v>2617</v>
      </c>
      <c r="B6" s="3117">
        <f ca="1">SUM(G14:G23)</f>
        <v>59172</v>
      </c>
      <c r="C6" s="3117">
        <f t="shared" ref="C6:C8" ca="1" si="0">ROUND(B6*10000/$B$1,0)</f>
        <v>2089</v>
      </c>
      <c r="D6" s="3117">
        <f t="shared" ref="D6:D8" ca="1" si="1">ROUND(B6*10000/$B$2,0)</f>
        <v>3377</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93501.879999999961</v>
      </c>
      <c r="C14" s="3123">
        <f>结果表!K38</f>
        <v>48722.92</v>
      </c>
      <c r="D14" s="3123">
        <f ca="1">结果表!C42</f>
        <v>19161</v>
      </c>
      <c r="E14" s="3123">
        <f ca="1">ROUND(D14*10000/B14,0)</f>
        <v>2049</v>
      </c>
      <c r="F14" s="3123">
        <f ca="1">ROUND(D14*10000/C14,0)</f>
        <v>3933</v>
      </c>
      <c r="G14" s="3123">
        <f ca="1">结果表!C44</f>
        <v>19161</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8" zoomScaleNormal="100" zoomScaleSheetLayoutView="100" zoomScalePageLayoutView="80" workbookViewId="0">
      <selection activeCell="Q89" sqref="Q8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82" t="str">
        <f>项目基本情况!K2</f>
        <v>湖北省宜昌市夷陵区东城试验区郭家湾村出让国有建设用地使用权</v>
      </c>
      <c r="B2" s="3683"/>
      <c r="C2" s="3684"/>
      <c r="D2" s="3684"/>
      <c r="E2" s="3684"/>
      <c r="F2" s="3684"/>
      <c r="G2" s="3683"/>
      <c r="H2" s="3683"/>
      <c r="I2" s="3685"/>
      <c r="J2" s="1862"/>
      <c r="K2" s="1861"/>
      <c r="L2" s="1861"/>
      <c r="M2" s="1861"/>
      <c r="N2" s="1861"/>
      <c r="O2" s="1861"/>
      <c r="P2" s="1861"/>
      <c r="Q2" s="1861"/>
      <c r="R2" s="1861"/>
      <c r="S2" s="1861"/>
      <c r="T2" s="1861"/>
      <c r="U2" s="1861"/>
      <c r="V2" s="1861"/>
    </row>
    <row r="3" spans="1:22" ht="14.25">
      <c r="A3" s="3693" t="s">
        <v>297</v>
      </c>
      <c r="B3" s="3694"/>
      <c r="C3" s="3694"/>
      <c r="D3" s="3694"/>
      <c r="E3" s="3694"/>
      <c r="F3" s="3694"/>
      <c r="G3" s="3694"/>
      <c r="H3" s="3694"/>
      <c r="I3" s="3694"/>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57" t="s">
        <v>300</v>
      </c>
      <c r="F4" s="3699"/>
      <c r="G4" s="3699"/>
      <c r="H4" s="3699"/>
      <c r="I4" s="3658"/>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86" t="s">
        <v>301</v>
      </c>
      <c r="B5" s="3687">
        <v>25</v>
      </c>
      <c r="C5" s="3695"/>
      <c r="D5" s="3698"/>
      <c r="E5" s="258" t="s">
        <v>302</v>
      </c>
      <c r="F5" s="259"/>
      <c r="G5" s="259"/>
      <c r="H5" s="259"/>
      <c r="I5" s="260"/>
      <c r="J5" s="1862"/>
      <c r="K5" s="1861"/>
      <c r="L5" s="1861"/>
      <c r="M5" s="1861"/>
      <c r="N5" s="1861"/>
      <c r="O5" s="1861"/>
      <c r="P5" s="1861"/>
      <c r="Q5" s="1861"/>
      <c r="R5" s="1861"/>
      <c r="S5" s="1861"/>
      <c r="T5" s="1861"/>
      <c r="U5" s="1861"/>
      <c r="V5" s="1861"/>
    </row>
    <row r="6" spans="1:22" ht="14.25">
      <c r="A6" s="3686"/>
      <c r="B6" s="3687"/>
      <c r="C6" s="3696"/>
      <c r="D6" s="3698"/>
      <c r="E6" s="258" t="s">
        <v>303</v>
      </c>
      <c r="F6" s="259"/>
      <c r="G6" s="259"/>
      <c r="H6" s="259"/>
      <c r="I6" s="260"/>
      <c r="J6" s="1862"/>
      <c r="K6" s="1861"/>
      <c r="L6" s="1861"/>
      <c r="M6" s="1861"/>
      <c r="N6" s="1861"/>
      <c r="O6" s="1861"/>
      <c r="P6" s="1861"/>
      <c r="Q6" s="1861"/>
      <c r="R6" s="1861"/>
      <c r="S6" s="1861"/>
      <c r="T6" s="1861"/>
      <c r="U6" s="1861"/>
      <c r="V6" s="1861"/>
    </row>
    <row r="7" spans="1:22" ht="14.25">
      <c r="A7" s="3686"/>
      <c r="B7" s="3687"/>
      <c r="C7" s="3697"/>
      <c r="D7" s="3698"/>
      <c r="E7" s="258" t="s">
        <v>304</v>
      </c>
      <c r="F7" s="259"/>
      <c r="G7" s="259"/>
      <c r="H7" s="259"/>
      <c r="I7" s="260"/>
      <c r="J7" s="1862"/>
      <c r="K7" s="1861"/>
      <c r="L7" s="1861"/>
      <c r="M7" s="1861"/>
      <c r="N7" s="1861"/>
      <c r="O7" s="1861"/>
      <c r="P7" s="1861"/>
      <c r="Q7" s="1861"/>
      <c r="R7" s="1861"/>
      <c r="S7" s="1861"/>
      <c r="T7" s="1861"/>
      <c r="U7" s="1861"/>
      <c r="V7" s="1861"/>
    </row>
    <row r="8" spans="1:22" ht="14.25">
      <c r="A8" s="3686" t="s">
        <v>305</v>
      </c>
      <c r="B8" s="3687">
        <v>15</v>
      </c>
      <c r="C8" s="3695"/>
      <c r="D8" s="3698"/>
      <c r="E8" s="258" t="s">
        <v>306</v>
      </c>
      <c r="F8" s="259"/>
      <c r="G8" s="259"/>
      <c r="H8" s="259"/>
      <c r="I8" s="260"/>
      <c r="J8" s="1862"/>
      <c r="K8" s="1861"/>
      <c r="L8" s="1861"/>
      <c r="M8" s="1861"/>
      <c r="N8" s="1861"/>
      <c r="O8" s="1861"/>
      <c r="P8" s="1861"/>
      <c r="Q8" s="1861"/>
      <c r="R8" s="1861"/>
      <c r="S8" s="1861"/>
      <c r="T8" s="1861"/>
      <c r="U8" s="1861"/>
      <c r="V8" s="1861"/>
    </row>
    <row r="9" spans="1:22" ht="14.25">
      <c r="A9" s="3686"/>
      <c r="B9" s="3687"/>
      <c r="C9" s="3697"/>
      <c r="D9" s="3698"/>
      <c r="E9" s="258" t="s">
        <v>307</v>
      </c>
      <c r="F9" s="259"/>
      <c r="G9" s="259"/>
      <c r="H9" s="259"/>
      <c r="I9" s="260"/>
      <c r="J9" s="1862"/>
      <c r="K9" s="1861"/>
      <c r="L9" s="1861"/>
      <c r="M9" s="1861"/>
      <c r="N9" s="1861"/>
      <c r="O9" s="1861"/>
      <c r="P9" s="1861"/>
      <c r="Q9" s="1861"/>
      <c r="R9" s="1861"/>
      <c r="S9" s="1861"/>
      <c r="T9" s="1861"/>
      <c r="U9" s="1861"/>
      <c r="V9" s="1861"/>
    </row>
    <row r="10" spans="1:22" ht="14.25">
      <c r="A10" s="3686" t="s">
        <v>308</v>
      </c>
      <c r="B10" s="3687">
        <v>15</v>
      </c>
      <c r="C10" s="3695"/>
      <c r="D10" s="3698"/>
      <c r="E10" s="258" t="s">
        <v>309</v>
      </c>
      <c r="F10" s="259"/>
      <c r="G10" s="259"/>
      <c r="H10" s="259"/>
      <c r="I10" s="260"/>
      <c r="J10" s="1862"/>
      <c r="K10" s="1861"/>
      <c r="L10" s="1861"/>
      <c r="M10" s="1861"/>
      <c r="N10" s="1861"/>
      <c r="O10" s="1861"/>
      <c r="P10" s="1861"/>
      <c r="Q10" s="1861"/>
      <c r="R10" s="1861"/>
      <c r="S10" s="1861"/>
      <c r="T10" s="1861"/>
      <c r="U10" s="1861"/>
      <c r="V10" s="1861"/>
    </row>
    <row r="11" spans="1:22" ht="14.25">
      <c r="A11" s="3686"/>
      <c r="B11" s="3687"/>
      <c r="C11" s="3697"/>
      <c r="D11" s="3698"/>
      <c r="E11" s="258" t="s">
        <v>310</v>
      </c>
      <c r="F11" s="259"/>
      <c r="G11" s="259"/>
      <c r="H11" s="259"/>
      <c r="I11" s="260"/>
      <c r="J11" s="1862"/>
      <c r="K11" s="1861"/>
      <c r="L11" s="1861"/>
      <c r="M11" s="1861"/>
      <c r="N11" s="1861"/>
      <c r="O11" s="1861"/>
      <c r="P11" s="1861"/>
      <c r="Q11" s="1861"/>
      <c r="R11" s="1861"/>
      <c r="S11" s="1861"/>
      <c r="T11" s="1861"/>
      <c r="U11" s="1861"/>
      <c r="V11" s="1861"/>
    </row>
    <row r="12" spans="1:22" ht="14.25">
      <c r="A12" s="3686" t="s">
        <v>311</v>
      </c>
      <c r="B12" s="3687">
        <v>15</v>
      </c>
      <c r="C12" s="3695"/>
      <c r="D12" s="3698"/>
      <c r="E12" s="258" t="s">
        <v>312</v>
      </c>
      <c r="F12" s="259"/>
      <c r="G12" s="259"/>
      <c r="H12" s="259"/>
      <c r="I12" s="260"/>
      <c r="J12" s="1862"/>
      <c r="K12" s="1861"/>
      <c r="L12" s="1861"/>
      <c r="M12" s="1861"/>
      <c r="N12" s="1861"/>
      <c r="O12" s="1861"/>
      <c r="P12" s="1861"/>
      <c r="Q12" s="1861"/>
      <c r="R12" s="1861"/>
      <c r="S12" s="1861"/>
      <c r="T12" s="1861"/>
      <c r="U12" s="1861"/>
      <c r="V12" s="1861"/>
    </row>
    <row r="13" spans="1:22" ht="14.25">
      <c r="A13" s="3686"/>
      <c r="B13" s="3687"/>
      <c r="C13" s="3697"/>
      <c r="D13" s="3698"/>
      <c r="E13" s="258" t="s">
        <v>313</v>
      </c>
      <c r="F13" s="259"/>
      <c r="G13" s="259"/>
      <c r="H13" s="259"/>
      <c r="I13" s="260"/>
      <c r="J13" s="1862"/>
      <c r="K13" s="1861"/>
      <c r="L13" s="1861"/>
      <c r="M13" s="1861"/>
      <c r="N13" s="1861"/>
      <c r="O13" s="1861"/>
      <c r="P13" s="1861"/>
      <c r="Q13" s="1861"/>
      <c r="R13" s="1861"/>
      <c r="S13" s="1861"/>
      <c r="T13" s="1861"/>
      <c r="U13" s="1861"/>
      <c r="V13" s="1861"/>
    </row>
    <row r="14" spans="1:22" ht="14.25">
      <c r="A14" s="3686" t="s">
        <v>314</v>
      </c>
      <c r="B14" s="3687">
        <v>30</v>
      </c>
      <c r="C14" s="3695">
        <v>5</v>
      </c>
      <c r="D14" s="3698">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86"/>
      <c r="B15" s="3687"/>
      <c r="C15" s="3696"/>
      <c r="D15" s="3698"/>
      <c r="E15" s="258" t="s">
        <v>316</v>
      </c>
      <c r="F15" s="259"/>
      <c r="G15" s="259"/>
      <c r="H15" s="259"/>
      <c r="I15" s="260"/>
      <c r="J15" s="1862"/>
      <c r="K15" s="1861"/>
      <c r="L15" s="1861"/>
      <c r="M15" s="1861"/>
      <c r="N15" s="1861"/>
      <c r="O15" s="1861"/>
      <c r="P15" s="1861"/>
      <c r="Q15" s="1861"/>
      <c r="R15" s="1861"/>
      <c r="S15" s="1861"/>
      <c r="T15" s="1861"/>
      <c r="U15" s="1861"/>
      <c r="V15" s="1861"/>
    </row>
    <row r="16" spans="1:22" ht="14.25">
      <c r="A16" s="3686"/>
      <c r="B16" s="3687"/>
      <c r="C16" s="3697"/>
      <c r="D16" s="3698"/>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700" t="s">
        <v>2745</v>
      </c>
      <c r="F18" s="3701"/>
      <c r="G18" s="3701"/>
      <c r="H18" s="3701"/>
      <c r="I18" s="3701"/>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20569</v>
      </c>
      <c r="D19" s="268">
        <f ca="1">SUMIF(INDIRECT("'"&amp;D4&amp;"'"&amp;"!A:A"),结果表!B19,INDIRECT("'"&amp;D4&amp;"'"&amp;"!B:B"))</f>
        <v>17752</v>
      </c>
      <c r="E19" s="265" t="s">
        <v>322</v>
      </c>
      <c r="F19" s="266" t="s">
        <v>321</v>
      </c>
      <c r="G19" s="269">
        <f ca="1">ROUND(C19*$C$18+D19*$D$18,0)</f>
        <v>19161</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2200</v>
      </c>
      <c r="D20" s="274">
        <f ca="1">SUMIF(INDIRECT("'"&amp;D4&amp;"'"&amp;"!A:A"),结果表!B20,INDIRECT("'"&amp;D4&amp;"'"&amp;"!B:B"))</f>
        <v>1899</v>
      </c>
      <c r="E20" s="271"/>
      <c r="F20" s="272" t="s">
        <v>324</v>
      </c>
      <c r="G20" s="275">
        <f ca="1">ROUND(C20*$C$18+D20*$D$18,0)</f>
        <v>2050</v>
      </c>
      <c r="H20" s="276" t="s">
        <v>325</v>
      </c>
      <c r="I20" s="308"/>
      <c r="J20" s="1861"/>
      <c r="K20" s="1861">
        <f ca="1">G19/'数据-汇总表'!F31</f>
        <v>0.20492636083894791</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4222</v>
      </c>
      <c r="D21" s="149">
        <f ca="1">SUMIF(INDIRECT("'"&amp;D4&amp;"'"&amp;"!A:A"),结果表!B21,INDIRECT("'"&amp;D4&amp;"'"&amp;"!B:B"))</f>
        <v>3643</v>
      </c>
      <c r="E21" s="271"/>
      <c r="F21" s="277" t="s">
        <v>326</v>
      </c>
      <c r="G21" s="279">
        <f ca="1">ROUND(C21*$C$18+D21*$D$18,0)</f>
        <v>3933</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0.1586863452005407</v>
      </c>
      <c r="E22" s="281"/>
      <c r="F22" s="282"/>
      <c r="G22" s="283">
        <f ca="1">ROUND(G19/('数据-汇总表'!D3/666.67),0)</f>
        <v>262</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59"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706"/>
      <c r="B25" s="1237" t="s">
        <v>330</v>
      </c>
      <c r="C25" s="287">
        <f>IF(B30=0,0,C30)</f>
        <v>0</v>
      </c>
      <c r="D25" s="288"/>
      <c r="E25" s="308"/>
      <c r="F25" s="308"/>
      <c r="G25" s="308"/>
      <c r="H25" s="308"/>
      <c r="I25" s="308"/>
      <c r="J25" s="1861"/>
      <c r="K25" s="1171" t="str">
        <f ca="1">项目基本情况!B16&amp;"国有建设用地使用权价格："&amp;O38&amp;"万元"</f>
        <v>出让国有建设用地使用权价格：19161万元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大写金额：人民币壹亿玖仟壹佰陆拾壹万元整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单位面积地价：3933元/平方米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楼面地价：2049元/平方米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抵押价格：19161万元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大写金额：人民币壹亿玖仟壹佰陆拾壹万元整</v>
      </c>
      <c r="L30" s="1168"/>
      <c r="M30" s="1168"/>
      <c r="N30" s="1168"/>
      <c r="O30" s="1167"/>
      <c r="P30" s="1861"/>
      <c r="V30" s="1861"/>
    </row>
    <row r="31" spans="1:26" ht="24" customHeight="1" thickBot="1">
      <c r="A31" s="3702" t="s">
        <v>2747</v>
      </c>
      <c r="B31" s="3702"/>
      <c r="C31" s="3702"/>
      <c r="D31" s="3702"/>
      <c r="E31" s="3702"/>
      <c r="F31" s="3702"/>
      <c r="G31" s="3702"/>
      <c r="H31" s="3702"/>
      <c r="I31" s="3702"/>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19161</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2049</v>
      </c>
      <c r="D33" s="1287" t="s">
        <v>1484</v>
      </c>
      <c r="E33" s="3659"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3933</v>
      </c>
      <c r="D34" s="1289" t="s">
        <v>1484</v>
      </c>
      <c r="E34" s="3660"/>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262</v>
      </c>
      <c r="D35" s="1292" t="s">
        <v>1486</v>
      </c>
      <c r="E35" s="3661"/>
      <c r="F35" s="298" t="s">
        <v>341</v>
      </c>
      <c r="G35" s="951"/>
      <c r="H35" s="950" t="s">
        <v>342</v>
      </c>
      <c r="I35" s="308"/>
      <c r="J35" s="1861"/>
      <c r="K35" s="3665" t="s">
        <v>349</v>
      </c>
      <c r="L35" s="3665" t="s">
        <v>350</v>
      </c>
      <c r="M35" s="1180" t="s">
        <v>351</v>
      </c>
      <c r="N35" s="3665" t="s">
        <v>352</v>
      </c>
      <c r="O35" s="3665" t="s">
        <v>353</v>
      </c>
      <c r="P35" s="1861"/>
      <c r="V35" s="1861"/>
    </row>
    <row r="36" spans="1:26" ht="16.5" customHeight="1">
      <c r="A36" s="300" t="s">
        <v>343</v>
      </c>
      <c r="B36" s="301" t="s">
        <v>332</v>
      </c>
      <c r="C36" s="302" t="s">
        <v>344</v>
      </c>
      <c r="D36" s="302" t="s">
        <v>345</v>
      </c>
      <c r="E36" s="303" t="s">
        <v>346</v>
      </c>
      <c r="F36" s="308"/>
      <c r="G36" s="308"/>
      <c r="H36" s="308"/>
      <c r="I36" s="308"/>
      <c r="J36" s="1863"/>
      <c r="K36" s="3666"/>
      <c r="L36" s="3666"/>
      <c r="M36" s="1182" t="s">
        <v>354</v>
      </c>
      <c r="N36" s="3666"/>
      <c r="O36" s="3666"/>
      <c r="P36" s="1861"/>
      <c r="V36" s="1861"/>
    </row>
    <row r="37" spans="1:26" ht="16.5" customHeight="1" thickBot="1">
      <c r="A37" s="1176" t="s">
        <v>347</v>
      </c>
      <c r="B37" s="304"/>
      <c r="C37" s="291"/>
      <c r="D37" s="291"/>
      <c r="E37" s="292"/>
      <c r="F37" s="308"/>
      <c r="G37" s="308"/>
      <c r="H37" s="308"/>
      <c r="I37" s="308"/>
      <c r="J37" s="1863"/>
      <c r="K37" s="3667"/>
      <c r="L37" s="3667"/>
      <c r="M37" s="1183"/>
      <c r="N37" s="3667"/>
      <c r="O37" s="3667"/>
      <c r="P37" s="1861"/>
      <c r="V37" s="1861"/>
    </row>
    <row r="38" spans="1:26" ht="16.5" customHeight="1" thickBot="1">
      <c r="A38" s="1176" t="s">
        <v>348</v>
      </c>
      <c r="B38" s="304"/>
      <c r="C38" s="291"/>
      <c r="D38" s="291"/>
      <c r="E38" s="292"/>
      <c r="F38" s="308"/>
      <c r="G38" s="308"/>
      <c r="H38" s="308"/>
      <c r="I38" s="308"/>
      <c r="J38" s="1863"/>
      <c r="K38" s="1184">
        <f>'数据-汇总表'!D3</f>
        <v>48722.92</v>
      </c>
      <c r="L38" s="1185">
        <f>'数据-汇总表'!E3</f>
        <v>93501.879999999961</v>
      </c>
      <c r="M38" s="1185">
        <f ca="1">C34</f>
        <v>3933</v>
      </c>
      <c r="N38" s="1185">
        <f ca="1">C33</f>
        <v>2049</v>
      </c>
      <c r="O38" s="1186">
        <f ca="1">C32</f>
        <v>19161</v>
      </c>
      <c r="P38" s="1861"/>
      <c r="V38" s="1861"/>
    </row>
    <row r="39" spans="1:26" ht="16.5" customHeight="1" thickBot="1">
      <c r="A39" s="1181"/>
      <c r="B39" s="305"/>
      <c r="C39" s="306"/>
      <c r="D39" s="306"/>
      <c r="E39" s="307"/>
      <c r="F39" s="308"/>
      <c r="G39" s="308"/>
      <c r="H39" s="308"/>
      <c r="I39" s="308"/>
      <c r="J39" s="1863"/>
      <c r="K39" s="3678" t="str">
        <f>MID(A44,3,LEN(A44)-2)</f>
        <v>抵押价格</v>
      </c>
      <c r="L39" s="3679"/>
      <c r="M39" s="3679"/>
      <c r="N39" s="3680"/>
      <c r="O39" s="1294">
        <f ca="1">C44</f>
        <v>19161</v>
      </c>
      <c r="P39" s="1861"/>
      <c r="V39" s="1861"/>
    </row>
    <row r="40" spans="1:26" ht="19.5" thickBot="1">
      <c r="A40" s="104" t="s">
        <v>846</v>
      </c>
      <c r="B40" s="308"/>
      <c r="C40" s="308"/>
      <c r="D40" s="308"/>
      <c r="E40" s="308"/>
      <c r="F40" s="308"/>
      <c r="G40" s="308"/>
      <c r="H40" s="308"/>
      <c r="I40" s="308"/>
      <c r="J40" s="1863"/>
      <c r="K40" s="3678" t="str">
        <f t="shared" ref="K40:K41" si="0">MID(A45,3,LEN(A45)-2)</f>
        <v/>
      </c>
      <c r="L40" s="3679"/>
      <c r="M40" s="3679"/>
      <c r="N40" s="3680"/>
      <c r="O40" s="1294" t="str">
        <f>C45</f>
        <v>——</v>
      </c>
      <c r="P40" s="1861"/>
      <c r="V40" s="1861"/>
    </row>
    <row r="41" spans="1:26" ht="16.5" thickBot="1">
      <c r="A41" s="309" t="s">
        <v>355</v>
      </c>
      <c r="B41" s="310"/>
      <c r="C41" s="311" t="s">
        <v>356</v>
      </c>
      <c r="D41" s="312" t="s">
        <v>357</v>
      </c>
      <c r="E41" s="312" t="s">
        <v>358</v>
      </c>
      <c r="F41" s="313" t="s">
        <v>359</v>
      </c>
      <c r="G41" s="308"/>
      <c r="H41" s="308"/>
      <c r="I41" s="308"/>
      <c r="J41" s="1863"/>
      <c r="K41" s="3678" t="str">
        <f t="shared" si="0"/>
        <v/>
      </c>
      <c r="L41" s="3679"/>
      <c r="M41" s="3679"/>
      <c r="N41" s="3680"/>
      <c r="O41" s="1294" t="str">
        <f>C46</f>
        <v>——</v>
      </c>
      <c r="P41" s="1861"/>
      <c r="V41" s="1861"/>
    </row>
    <row r="42" spans="1:26" ht="29.25">
      <c r="A42" s="3707" t="s">
        <v>1850</v>
      </c>
      <c r="B42" s="3708"/>
      <c r="C42" s="261">
        <f ca="1">C32</f>
        <v>19161</v>
      </c>
      <c r="D42" s="314">
        <f ca="1">C33</f>
        <v>2049</v>
      </c>
      <c r="E42" s="314">
        <f ca="1">C34</f>
        <v>3933</v>
      </c>
      <c r="F42" s="315">
        <f ca="1">C35</f>
        <v>262</v>
      </c>
      <c r="G42" s="308"/>
      <c r="H42" s="308"/>
      <c r="I42" s="316"/>
      <c r="J42" s="1863"/>
      <c r="K42" s="1187" t="s">
        <v>360</v>
      </c>
      <c r="L42" s="1880" t="s">
        <v>361</v>
      </c>
      <c r="M42" s="1188" t="s">
        <v>362</v>
      </c>
      <c r="N42" s="1881" t="s">
        <v>363</v>
      </c>
      <c r="O42" s="1882" t="s">
        <v>364</v>
      </c>
      <c r="P42" s="1861"/>
      <c r="V42" s="1861"/>
    </row>
    <row r="43" spans="1:26" ht="30">
      <c r="A43" s="3717" t="s">
        <v>2499</v>
      </c>
      <c r="B43" s="3718"/>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20569</v>
      </c>
      <c r="M43" s="1191">
        <f>C18</f>
        <v>0.5</v>
      </c>
      <c r="N43" s="1192">
        <f ca="1">IF(N42="测算结果/万元",G19,G20)</f>
        <v>19161</v>
      </c>
      <c r="O43" s="1193">
        <f ca="1">IF(O42="最终结果/万元",C32,C33)</f>
        <v>19161</v>
      </c>
      <c r="P43" s="1861"/>
      <c r="V43" s="1861"/>
    </row>
    <row r="44" spans="1:26" ht="30.75" thickBot="1">
      <c r="A44" s="3707" t="str">
        <f>IF(OR(项目基本情况!E8="抵押价格",项目基本情况!E8="已注销及未注销"),"3.抵押价格","——")</f>
        <v>3.抵押价格</v>
      </c>
      <c r="B44" s="3708"/>
      <c r="C44" s="261">
        <f ca="1">IF(A44="——","——",C42-C43)</f>
        <v>19161</v>
      </c>
      <c r="D44" s="314">
        <f ca="1">ROUND(C44*10000/'数据-汇总表'!E3,0)</f>
        <v>2049</v>
      </c>
      <c r="E44" s="314">
        <f ca="1">ROUND(C44*10000/'数据-汇总表'!D3,0)</f>
        <v>3933</v>
      </c>
      <c r="F44" s="315">
        <f ca="1">ROUND(C44/('数据-汇总表'!D3/666.67),0)</f>
        <v>262</v>
      </c>
      <c r="G44" s="308"/>
      <c r="H44" s="308"/>
      <c r="I44" s="316"/>
      <c r="J44" s="1863"/>
      <c r="K44" s="1194" t="str">
        <f>D4</f>
        <v>剩余法-待开发</v>
      </c>
      <c r="L44" s="1195">
        <f ca="1">IF(L42="估价结果/万元",D19,D20)</f>
        <v>17752</v>
      </c>
      <c r="M44" s="1196">
        <f>D18</f>
        <v>0.5</v>
      </c>
      <c r="N44" s="1197"/>
      <c r="O44" s="1198"/>
      <c r="P44" s="1861"/>
      <c r="V44" s="1861"/>
    </row>
    <row r="45" spans="1:26" ht="15">
      <c r="A45" s="3712" t="str">
        <f>IF(项目基本情况!E8="已注销及未注销","4.抵押担保权已注销时的抵押价格",IF(项目基本情况!E8="已注销","3.抵押担保权已注销时的抵押价格","——"))</f>
        <v>——</v>
      </c>
      <c r="B45" s="3713"/>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709" t="str">
        <f>IF(项目基本情况!E9="抵押净值",IF(A45="——","4.抵押净值","5.抵押净值"),"——")</f>
        <v>——</v>
      </c>
      <c r="B46" s="3710"/>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70" t="s">
        <v>373</v>
      </c>
      <c r="B63" s="3671"/>
      <c r="C63" s="3672"/>
      <c r="D63" s="338">
        <f ca="1">ROUND(C42*F63,0)</f>
        <v>19161</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714" t="s">
        <v>377</v>
      </c>
      <c r="B64" s="3715"/>
      <c r="C64" s="3715"/>
      <c r="D64" s="3715"/>
      <c r="E64" s="3715"/>
      <c r="F64" s="3715"/>
      <c r="G64" s="3716"/>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711" t="s">
        <v>385</v>
      </c>
      <c r="B66" s="3677"/>
      <c r="C66" s="3677"/>
      <c r="D66" s="258">
        <f ca="1">IF(H66="情况1",0,IF(H66="情况2",D70,IF(H66="情况3",D71,IF(H66="情况4",D72))))</f>
        <v>1022</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638" t="s">
        <v>384</v>
      </c>
      <c r="M66" s="3639"/>
      <c r="N66" s="2261"/>
      <c r="O66" s="2262"/>
      <c r="P66" s="2263"/>
      <c r="Q66" s="1861"/>
      <c r="R66" s="1861"/>
      <c r="S66" s="1861"/>
      <c r="T66" s="1861"/>
      <c r="U66" s="1861"/>
      <c r="V66" s="1861"/>
    </row>
    <row r="67" spans="1:22" ht="25.5" customHeight="1">
      <c r="A67" s="349" t="s">
        <v>388</v>
      </c>
      <c r="B67" s="3689" t="s">
        <v>389</v>
      </c>
      <c r="C67" s="3689"/>
      <c r="D67" s="350">
        <v>0</v>
      </c>
      <c r="E67" s="41" t="s">
        <v>390</v>
      </c>
      <c r="F67" s="62" t="s">
        <v>21</v>
      </c>
      <c r="G67" s="3673"/>
      <c r="H67" s="2938" t="s">
        <v>2748</v>
      </c>
      <c r="I67" s="2940"/>
      <c r="J67" s="1868"/>
      <c r="K67" s="1840">
        <v>2</v>
      </c>
      <c r="L67" s="3643" t="s">
        <v>387</v>
      </c>
      <c r="M67" s="3643"/>
      <c r="N67" s="1241">
        <f>'数据-取费表'!B2</f>
        <v>44978</v>
      </c>
      <c r="O67" s="1241"/>
      <c r="P67" s="1241"/>
      <c r="Q67" s="1861"/>
      <c r="R67" s="1861"/>
      <c r="S67" s="1861"/>
      <c r="T67" s="1861"/>
      <c r="U67" s="1861"/>
      <c r="V67" s="1861"/>
    </row>
    <row r="68" spans="1:22" ht="25.5" customHeight="1">
      <c r="A68" s="351"/>
      <c r="B68" s="3689" t="s">
        <v>392</v>
      </c>
      <c r="C68" s="3689"/>
      <c r="D68" s="352"/>
      <c r="E68" s="77"/>
      <c r="F68" s="353"/>
      <c r="G68" s="3674"/>
      <c r="H68" s="2939" t="s">
        <v>2749</v>
      </c>
      <c r="I68" s="2940"/>
      <c r="J68" s="1868"/>
      <c r="K68" s="1840">
        <v>3</v>
      </c>
      <c r="L68" s="3643" t="s">
        <v>391</v>
      </c>
      <c r="M68" s="3643"/>
      <c r="N68" s="1209">
        <f ca="1">C42</f>
        <v>19161</v>
      </c>
      <c r="O68" s="1209"/>
      <c r="P68" s="1209"/>
      <c r="Q68" s="1861"/>
      <c r="R68" s="1861"/>
      <c r="S68" s="1861"/>
      <c r="T68" s="1861"/>
      <c r="U68" s="1861"/>
      <c r="V68" s="1861"/>
    </row>
    <row r="69" spans="1:22" ht="23.45" customHeight="1">
      <c r="A69" s="354"/>
      <c r="B69" s="3689" t="s">
        <v>393</v>
      </c>
      <c r="C69" s="3689"/>
      <c r="D69" s="355"/>
      <c r="E69" s="73"/>
      <c r="F69" s="353"/>
      <c r="G69" s="3675"/>
      <c r="H69" s="2939" t="s">
        <v>2750</v>
      </c>
      <c r="I69" s="2940"/>
      <c r="J69" s="1868"/>
      <c r="K69" s="1210">
        <v>4</v>
      </c>
      <c r="L69" s="3644" t="s">
        <v>2648</v>
      </c>
      <c r="M69" s="3645"/>
      <c r="N69" s="1211">
        <f ca="1">C44</f>
        <v>19161</v>
      </c>
      <c r="O69" s="1211"/>
      <c r="P69" s="1211"/>
      <c r="Q69" s="1861"/>
      <c r="R69" s="1861"/>
      <c r="S69" s="1861"/>
      <c r="T69" s="1861"/>
      <c r="U69" s="1861"/>
      <c r="V69" s="1861"/>
    </row>
    <row r="70" spans="1:22" ht="24" customHeight="1">
      <c r="A70" s="356" t="s">
        <v>394</v>
      </c>
      <c r="B70" s="3689" t="s">
        <v>395</v>
      </c>
      <c r="C70" s="3689"/>
      <c r="D70" s="355">
        <f ca="1">ROUND(D63*'数据-取费表'!B41/(1+'数据-取费表'!C42),0)</f>
        <v>1022</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88" t="s">
        <v>2778</v>
      </c>
      <c r="C71" s="3705"/>
      <c r="D71" s="355">
        <f ca="1">ROUND(D63*'数据-取费表'!B41/(1+'数据-取费表'!C42),0)</f>
        <v>1022</v>
      </c>
      <c r="E71" s="17" t="s">
        <v>396</v>
      </c>
      <c r="F71" s="357">
        <f>'数据-取费表'!B41</f>
        <v>5.6000000000000001E-2</v>
      </c>
      <c r="G71" s="358"/>
      <c r="H71" s="308"/>
      <c r="I71" s="1208"/>
      <c r="J71" s="1868"/>
      <c r="K71" s="2706" t="s">
        <v>397</v>
      </c>
      <c r="L71" s="3646" t="s">
        <v>398</v>
      </c>
      <c r="M71" s="3646"/>
      <c r="N71" s="2706" t="s">
        <v>399</v>
      </c>
      <c r="O71" s="2706" t="s">
        <v>400</v>
      </c>
      <c r="P71" s="2706" t="s">
        <v>401</v>
      </c>
      <c r="Q71" s="1861"/>
      <c r="R71" s="1861"/>
      <c r="S71" s="1861"/>
      <c r="T71" s="1861"/>
      <c r="U71" s="1861"/>
      <c r="V71" s="1861"/>
    </row>
    <row r="72" spans="1:22" ht="12" customHeight="1">
      <c r="A72" s="356" t="s">
        <v>404</v>
      </c>
      <c r="B72" s="3688" t="s">
        <v>2779</v>
      </c>
      <c r="C72" s="3705"/>
      <c r="D72" s="355">
        <f ca="1">C86</f>
        <v>1022</v>
      </c>
      <c r="E72" s="73" t="s">
        <v>405</v>
      </c>
      <c r="F72" s="357">
        <f>'数据-取费表'!B41</f>
        <v>5.6000000000000001E-2</v>
      </c>
      <c r="G72" s="358"/>
      <c r="H72" s="1214"/>
      <c r="I72" s="1208"/>
      <c r="J72" s="1868"/>
      <c r="K72" s="1840">
        <v>1</v>
      </c>
      <c r="L72" s="3642" t="s">
        <v>403</v>
      </c>
      <c r="M72" s="3642"/>
      <c r="N72" s="1212">
        <f ca="1">D66</f>
        <v>1022</v>
      </c>
      <c r="O72" s="1724" t="str">
        <f>E66</f>
        <v>销售额×税（费）率</v>
      </c>
      <c r="P72" s="1213">
        <f>F66</f>
        <v>5.6000000000000001E-2</v>
      </c>
      <c r="Q72" s="1861"/>
      <c r="R72" s="1861"/>
      <c r="S72" s="1861"/>
      <c r="T72" s="1861"/>
      <c r="U72" s="1861"/>
      <c r="V72" s="1861"/>
    </row>
    <row r="73" spans="1:22" ht="24" customHeight="1">
      <c r="A73" s="3676" t="s">
        <v>407</v>
      </c>
      <c r="B73" s="3677"/>
      <c r="C73" s="3677"/>
      <c r="D73" s="359">
        <f ca="1">IF(H73="个人住宅",0,ROUND(D63*I73,0))</f>
        <v>10</v>
      </c>
      <c r="E73" s="17" t="s">
        <v>408</v>
      </c>
      <c r="F73" s="357">
        <f>IF(H73="正常",I73,"免征")</f>
        <v>5.0000000000000001E-4</v>
      </c>
      <c r="G73" s="358"/>
      <c r="H73" s="189" t="s">
        <v>3711</v>
      </c>
      <c r="I73" s="357">
        <f>'数据-取费表'!B49</f>
        <v>5.0000000000000001E-4</v>
      </c>
      <c r="J73" s="1868"/>
      <c r="K73" s="1840">
        <v>2</v>
      </c>
      <c r="L73" s="3642" t="s">
        <v>406</v>
      </c>
      <c r="M73" s="3642"/>
      <c r="N73" s="1212">
        <f t="shared" ref="N73:P74" ca="1" si="1">D73</f>
        <v>10</v>
      </c>
      <c r="O73" s="1724" t="str">
        <f t="shared" si="1"/>
        <v>销售额×税（费）率</v>
      </c>
      <c r="P73" s="1213">
        <f t="shared" si="1"/>
        <v>5.0000000000000001E-4</v>
      </c>
      <c r="Q73" s="1861"/>
      <c r="R73" s="1861"/>
      <c r="S73" s="1861"/>
      <c r="T73" s="1861"/>
      <c r="U73" s="1861"/>
      <c r="V73" s="1861"/>
    </row>
    <row r="74" spans="1:22" ht="24.75">
      <c r="A74" s="3676" t="s">
        <v>410</v>
      </c>
      <c r="B74" s="3677"/>
      <c r="C74" s="3677"/>
      <c r="D74" s="359">
        <f ca="1">IF(H74="个人住宅",D75,D76)</f>
        <v>368</v>
      </c>
      <c r="E74" s="17" t="s">
        <v>411</v>
      </c>
      <c r="F74" s="357" t="str">
        <f>IF(H74="正常",F76,"免征")</f>
        <v>——</v>
      </c>
      <c r="G74" s="952" t="s">
        <v>412</v>
      </c>
      <c r="H74" s="360" t="s">
        <v>3711</v>
      </c>
      <c r="I74" s="42"/>
      <c r="J74" s="1868"/>
      <c r="K74" s="1840">
        <v>3</v>
      </c>
      <c r="L74" s="3642" t="s">
        <v>409</v>
      </c>
      <c r="M74" s="3642"/>
      <c r="N74" s="1212">
        <f t="shared" ca="1" si="1"/>
        <v>368</v>
      </c>
      <c r="O74" s="1724" t="str">
        <f t="shared" si="1"/>
        <v>增值额×税（费）率</v>
      </c>
      <c r="P74" s="1215" t="str">
        <f t="shared" si="1"/>
        <v>——</v>
      </c>
      <c r="Q74" s="1861"/>
      <c r="R74" s="1861"/>
      <c r="S74" s="1861"/>
      <c r="T74" s="1861"/>
      <c r="U74" s="1861"/>
      <c r="V74" s="1861"/>
    </row>
    <row r="75" spans="1:22" ht="12.75">
      <c r="A75" s="356" t="s">
        <v>413</v>
      </c>
      <c r="B75" s="3657" t="s">
        <v>414</v>
      </c>
      <c r="C75" s="3658"/>
      <c r="D75" s="361">
        <v>0</v>
      </c>
      <c r="E75" s="41" t="s">
        <v>415</v>
      </c>
      <c r="F75" s="362"/>
      <c r="G75" s="358"/>
      <c r="H75" s="42"/>
      <c r="I75" s="42"/>
      <c r="J75" s="1868"/>
      <c r="K75" s="2700" t="str">
        <f>IF(H77="非个人房产","",4)</f>
        <v/>
      </c>
      <c r="L75" s="3642" t="str">
        <f>IF(H77="非个人房产","——","个人所得税")</f>
        <v>——</v>
      </c>
      <c r="M75" s="3642"/>
      <c r="N75" s="1216" t="str">
        <f>D77</f>
        <v>——</v>
      </c>
      <c r="O75" s="1737" t="str">
        <f>E77</f>
        <v>——</v>
      </c>
      <c r="P75" s="1217" t="str">
        <f>F77</f>
        <v>——</v>
      </c>
      <c r="Q75" s="1861"/>
      <c r="R75" s="1861"/>
      <c r="S75" s="1861"/>
      <c r="T75" s="1861"/>
      <c r="U75" s="1861"/>
      <c r="V75" s="1861"/>
    </row>
    <row r="76" spans="1:22" ht="24.75">
      <c r="A76" s="356" t="s">
        <v>394</v>
      </c>
      <c r="B76" s="3657" t="s">
        <v>417</v>
      </c>
      <c r="C76" s="3699"/>
      <c r="D76" s="359">
        <f ca="1">IF(H76="转让取得",C99,C115)</f>
        <v>368</v>
      </c>
      <c r="E76" s="17" t="s">
        <v>418</v>
      </c>
      <c r="F76" s="53" t="s">
        <v>21</v>
      </c>
      <c r="G76" s="358"/>
      <c r="H76" s="360" t="s">
        <v>3712</v>
      </c>
      <c r="I76" s="42"/>
      <c r="J76" s="1868"/>
      <c r="K76" s="2700" t="str">
        <f>IF(项目基本情况!K6="上海银行",IF(K75="",4,K75+1),"")</f>
        <v/>
      </c>
      <c r="L76" s="3653" t="str">
        <f>IF(项目基本情况!K6="上海银行","其他处置费用","")</f>
        <v/>
      </c>
      <c r="M76" s="3654"/>
      <c r="N76" s="1212" t="str">
        <f>IF(项目基本情况!K6="上海银行",N89,"")</f>
        <v/>
      </c>
      <c r="O76" s="3655" t="str">
        <f>IF(项目基本情况!K6="上海银行","包含处置中涉及的律师、诉讼、拍卖、评估等费用","")</f>
        <v/>
      </c>
      <c r="P76" s="3656"/>
      <c r="Q76" s="1861"/>
      <c r="R76" s="1861"/>
      <c r="S76" s="1861"/>
      <c r="T76" s="1861"/>
      <c r="U76" s="1861"/>
      <c r="V76" s="1861"/>
    </row>
    <row r="77" spans="1:22" ht="24.75" thickBot="1">
      <c r="A77" s="3668" t="s">
        <v>420</v>
      </c>
      <c r="B77" s="3669"/>
      <c r="C77" s="3669"/>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64">
        <f>IF(AND(K75="",K76=""),4,IF(项目基本情况!K6="上海银行",K76+1,K75+1))</f>
        <v>4</v>
      </c>
      <c r="L77" s="3642" t="s">
        <v>2649</v>
      </c>
      <c r="M77" s="2705" t="s">
        <v>416</v>
      </c>
      <c r="N77" s="1218"/>
      <c r="O77" s="1219">
        <f ca="1">SUMIF(N72:N76,"&lt;9e307")</f>
        <v>1400</v>
      </c>
      <c r="P77" s="1220"/>
      <c r="Q77" s="2703">
        <f ca="1">O77/N69</f>
        <v>7.3065080110641403E-2</v>
      </c>
      <c r="R77" s="1861"/>
      <c r="S77" s="1861"/>
      <c r="T77" s="1861"/>
      <c r="U77" s="1861"/>
      <c r="V77" s="1861"/>
    </row>
    <row r="78" spans="1:22" ht="12" customHeight="1">
      <c r="A78" s="1221"/>
      <c r="B78" s="308"/>
      <c r="C78" s="308"/>
      <c r="D78" s="308"/>
      <c r="E78" s="42"/>
      <c r="F78" s="42"/>
      <c r="G78" s="42"/>
      <c r="H78" s="972"/>
      <c r="I78" s="308"/>
      <c r="J78" s="1868"/>
      <c r="K78" s="3664"/>
      <c r="L78" s="3642"/>
      <c r="M78" s="2705" t="s">
        <v>419</v>
      </c>
      <c r="N78" s="1218"/>
      <c r="O78" s="1219" t="str">
        <f ca="1">NUMBERSTRING(INT(O77*10000),2)&amp;"元整"</f>
        <v>壹仟肆佰万元整</v>
      </c>
      <c r="P78" s="1220"/>
      <c r="Q78" s="1861"/>
      <c r="R78" s="1861"/>
      <c r="S78" s="1861"/>
      <c r="T78" s="1861"/>
      <c r="U78" s="1861"/>
      <c r="V78" s="1861"/>
    </row>
    <row r="79" spans="1:22" ht="13.5" thickBot="1">
      <c r="A79" s="3719" t="s">
        <v>421</v>
      </c>
      <c r="B79" s="3719"/>
      <c r="C79" s="3719"/>
      <c r="D79" s="3719"/>
      <c r="E79" s="3719"/>
      <c r="F79" s="42"/>
      <c r="G79" s="42"/>
      <c r="H79" s="972"/>
      <c r="I79" s="308"/>
      <c r="J79" s="1868"/>
      <c r="K79" s="3640">
        <f>K77+1</f>
        <v>5</v>
      </c>
      <c r="L79" s="3642" t="s">
        <v>2650</v>
      </c>
      <c r="M79" s="2705" t="s">
        <v>416</v>
      </c>
      <c r="N79" s="1218"/>
      <c r="O79" s="1219">
        <f ca="1">N69-O77</f>
        <v>17761</v>
      </c>
      <c r="P79" s="1220"/>
      <c r="Q79" s="1861"/>
      <c r="R79" s="1861"/>
      <c r="S79" s="1861"/>
      <c r="T79" s="1861"/>
      <c r="U79" s="1861"/>
      <c r="V79" s="1861"/>
    </row>
    <row r="80" spans="1:22" ht="25.5">
      <c r="A80" s="3650" t="s">
        <v>422</v>
      </c>
      <c r="B80" s="3651"/>
      <c r="C80" s="963"/>
      <c r="D80" s="963" t="s">
        <v>423</v>
      </c>
      <c r="E80" s="363" t="s">
        <v>424</v>
      </c>
      <c r="F80" s="42"/>
      <c r="G80" s="42"/>
      <c r="H80" s="972"/>
      <c r="I80" s="308"/>
      <c r="J80" s="1861"/>
      <c r="K80" s="3641"/>
      <c r="L80" s="3642"/>
      <c r="M80" s="2705" t="s">
        <v>419</v>
      </c>
      <c r="N80" s="1218"/>
      <c r="O80" s="1219" t="str">
        <f ca="1">NUMBERSTRING(INT(O79*10000),2)&amp;"元整"</f>
        <v>壹亿柒仟柒佰陆拾壹万元整</v>
      </c>
      <c r="P80" s="1220"/>
      <c r="Q80" s="1861"/>
      <c r="R80" s="1861"/>
      <c r="S80" s="1861"/>
      <c r="T80" s="1861"/>
      <c r="U80" s="1861"/>
      <c r="V80" s="1861"/>
    </row>
    <row r="81" spans="1:26" ht="13.5" thickBot="1">
      <c r="A81" s="374" t="s">
        <v>1616</v>
      </c>
      <c r="B81" s="364" t="s">
        <v>425</v>
      </c>
      <c r="C81" s="365">
        <f ca="1">ROUND((C82+C83)/(1+'数据-取费表'!C42),0)</f>
        <v>18249</v>
      </c>
      <c r="D81" s="366"/>
      <c r="E81" s="367"/>
      <c r="F81" s="42"/>
      <c r="G81" s="42"/>
      <c r="H81" s="972"/>
      <c r="I81" s="308"/>
      <c r="J81" s="1861"/>
      <c r="K81" s="2700">
        <f>K79+1</f>
        <v>6</v>
      </c>
      <c r="L81" s="3662" t="s">
        <v>2651</v>
      </c>
      <c r="M81" s="3663"/>
      <c r="N81" s="1222"/>
      <c r="O81" s="1223">
        <f ca="1">ROUND(O79*10000/'数据-汇总表'!E3,0)</f>
        <v>1900</v>
      </c>
      <c r="P81" s="1224"/>
      <c r="Q81" s="1861"/>
      <c r="R81" s="1861"/>
      <c r="S81" s="1861"/>
      <c r="T81" s="1861"/>
      <c r="U81" s="1861"/>
      <c r="V81" s="1861"/>
    </row>
    <row r="82" spans="1:26" ht="13.5" thickTop="1">
      <c r="A82" s="368" t="s">
        <v>1617</v>
      </c>
      <c r="B82" s="369" t="s">
        <v>426</v>
      </c>
      <c r="C82" s="370">
        <f ca="1">D63</f>
        <v>19161</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652" t="s">
        <v>2639</v>
      </c>
      <c r="L83" s="2711" t="s">
        <v>2640</v>
      </c>
      <c r="M83" s="2701">
        <f ca="1">IF(N69&gt;10000,N69*0.5%,IF(AND(N69&gt;1000,N69&lt;=10000),N69*1%,IF(AND(N69&gt;100,N69&lt;=1000),N69*3%,IF(AND(N69&gt;10,N69&lt;=100),N69*5%,N69*8%))))</f>
        <v>95.805000000000007</v>
      </c>
      <c r="N83" s="53">
        <f ca="1">ROUND(M83,1)</f>
        <v>95.8</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652"/>
      <c r="L84" s="2711" t="s">
        <v>2641</v>
      </c>
      <c r="M84" s="2701">
        <f ca="1">IF(N69&gt;2000,N69*0.5%,IF(AND(N69&gt;1000,N69&lt;=2000),N69*0.6%,IF(AND(N69&gt;500,N69&lt;=1000),N69*0.7%,IF(AND(N69&gt;200,N69&lt;=500),N69*0.8%,IF(AND(N69&gt;100,N69&lt;=200),N69*0.9%,IF(AND(N69&gt;50,N69&lt;=100),N69*1%,IF(AND(N69&gt;20,N69&lt;=50),N69*1.5%,IF(AND(N69&gt;10,N69&lt;=20),N69*2%,IF(AND(N69&gt;1,N69&lt;=10),N69*2.5%)))))))))</f>
        <v>95.805000000000007</v>
      </c>
      <c r="N84" s="53">
        <f t="shared" ref="N84:N85" ca="1" si="2">ROUND(M84,1)</f>
        <v>95.8</v>
      </c>
      <c r="O84" s="1861" t="s">
        <v>2642</v>
      </c>
      <c r="P84" s="1861"/>
      <c r="Q84" s="1861"/>
      <c r="R84" s="1861"/>
      <c r="S84" s="1861"/>
      <c r="T84" s="1861"/>
      <c r="U84" s="1861"/>
      <c r="V84" s="1861"/>
    </row>
    <row r="85" spans="1:26" ht="12.75">
      <c r="A85" s="374" t="s">
        <v>1620</v>
      </c>
      <c r="B85" s="375" t="s">
        <v>429</v>
      </c>
      <c r="C85" s="378">
        <f ca="1">C81-C84</f>
        <v>18249</v>
      </c>
      <c r="D85" s="371" t="s">
        <v>19</v>
      </c>
      <c r="E85" s="372"/>
      <c r="F85" s="42"/>
      <c r="G85" s="42"/>
      <c r="H85" s="972"/>
      <c r="I85" s="308"/>
      <c r="J85" s="1861"/>
      <c r="K85" s="3652"/>
      <c r="L85" s="2711" t="s">
        <v>2643</v>
      </c>
      <c r="M85" s="2701">
        <f ca="1">IF(N69&gt;1000,N69*0.1%,IF(AND(N69&gt;500,N69&lt;=1000),N69*0.5%,IF(AND(N69&gt;50,N69&lt;=500),N69*1%,IF(AND(N69&gt;1,N69&lt;=50),N69*1.5%))))</f>
        <v>19.161000000000001</v>
      </c>
      <c r="N85" s="53">
        <f t="shared" ca="1" si="2"/>
        <v>19.2</v>
      </c>
      <c r="O85" s="1861" t="s">
        <v>2642</v>
      </c>
      <c r="P85" s="1861"/>
      <c r="Q85" s="1861"/>
      <c r="R85" s="1861"/>
      <c r="S85" s="1861"/>
      <c r="T85" s="1861"/>
      <c r="U85" s="1861"/>
      <c r="V85" s="1861"/>
    </row>
    <row r="86" spans="1:26" ht="13.5" thickBot="1">
      <c r="A86" s="379" t="s">
        <v>1621</v>
      </c>
      <c r="B86" s="380" t="s">
        <v>430</v>
      </c>
      <c r="C86" s="381">
        <f ca="1">IF(C85&lt;=0,0,ROUND(C85*D86,0))</f>
        <v>1022</v>
      </c>
      <c r="D86" s="382">
        <f>'数据-取费表'!B41</f>
        <v>5.6000000000000001E-2</v>
      </c>
      <c r="E86" s="383"/>
      <c r="F86" s="42"/>
      <c r="G86" s="42"/>
      <c r="H86" s="972"/>
      <c r="I86" s="308"/>
      <c r="J86" s="1861"/>
      <c r="K86" s="3652"/>
      <c r="L86" s="2711" t="s">
        <v>2644</v>
      </c>
      <c r="M86" s="2701">
        <f ca="1">N69*0.5%</f>
        <v>95.805000000000007</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652"/>
      <c r="L87" s="2711" t="s">
        <v>2646</v>
      </c>
      <c r="M87" s="2701">
        <f ca="1">IF(N69&gt;=10000,(8.25+(N69-10000)*0.01%),IF(AND(N69&gt;=8000,N69&lt;10000),(7.85+(N69-8000)*0.02%),IF(AND(N69&gt;=5000,N69&lt;8000),(6.65+(N69-5000)*0.04%),IF(AND(N69&gt;=2000,N69&lt;5000),(4.25+(PN69-2000)*0.08%),IF(AND(N69&gt;=1000,N69&lt;2000),(2.75+(N69-1000)*0.15%),IF(AND(N69&gt;=100,N69&lt;1000),(0.5+(N69-100)*0.25%),IF(AND(N69&gt;0,N69&lt;100),N69*0.5%)))))))</f>
        <v>9.1661000000000001</v>
      </c>
      <c r="N87" s="53">
        <f ca="1">ROUND(M87*0.9,1)</f>
        <v>8.1999999999999993</v>
      </c>
      <c r="O87" s="2704"/>
      <c r="P87" s="1861"/>
      <c r="Q87" s="1861"/>
      <c r="R87" s="1861"/>
      <c r="S87" s="1861"/>
      <c r="T87" s="1861"/>
      <c r="U87" s="1861"/>
      <c r="V87" s="1861"/>
      <c r="W87" s="289"/>
      <c r="X87" s="289"/>
      <c r="Y87" s="289"/>
      <c r="Z87" s="289"/>
    </row>
    <row r="88" spans="1:26" s="1230" customFormat="1" ht="15" thickBot="1">
      <c r="A88" s="3691" t="s">
        <v>431</v>
      </c>
      <c r="B88" s="3692"/>
      <c r="C88" s="3692"/>
      <c r="D88" s="3692"/>
      <c r="E88" s="3692"/>
      <c r="F88" s="3692"/>
      <c r="G88" s="3692"/>
      <c r="H88" s="3692"/>
      <c r="I88" s="1231"/>
      <c r="J88" s="1869"/>
      <c r="K88" s="3652"/>
      <c r="L88" s="2711" t="s">
        <v>2647</v>
      </c>
      <c r="M88" s="2701">
        <f ca="1">IF(N69&gt;10000,N69*0.5%,IF(AND(N69&gt;5000,N69&lt;=10000),N69*1%,IF(AND(N69&gt;1000,N69&lt;=5000),N69*2%,IF(AND(N69&gt;200,N69&lt;=1000),N69*3%,N69*5%))))</f>
        <v>95.805000000000007</v>
      </c>
      <c r="N88" s="53">
        <f ca="1">ROUND(M88,1)</f>
        <v>95.8</v>
      </c>
      <c r="O88" s="2704"/>
      <c r="P88" s="1866"/>
      <c r="Q88" s="1866"/>
      <c r="R88" s="1866"/>
      <c r="S88" s="1866"/>
      <c r="T88" s="1866"/>
      <c r="U88" s="1866"/>
      <c r="V88" s="1866"/>
      <c r="W88" s="1870"/>
      <c r="X88" s="1870"/>
      <c r="Y88" s="1870"/>
      <c r="Z88" s="1870"/>
    </row>
    <row r="89" spans="1:26" s="1230" customFormat="1" ht="14.25">
      <c r="A89" s="3650" t="s">
        <v>422</v>
      </c>
      <c r="B89" s="3651"/>
      <c r="C89" s="963"/>
      <c r="D89" s="963" t="s">
        <v>423</v>
      </c>
      <c r="E89" s="384" t="s">
        <v>432</v>
      </c>
      <c r="F89" s="385"/>
      <c r="G89" s="385"/>
      <c r="H89" s="386"/>
      <c r="I89" s="1232"/>
      <c r="J89" s="1871"/>
      <c r="K89" s="3652"/>
      <c r="L89" s="2711" t="s">
        <v>27</v>
      </c>
      <c r="M89" s="2702"/>
      <c r="N89" s="53">
        <f ca="1">ROUND(SUM(N83:N88),0)</f>
        <v>315</v>
      </c>
      <c r="O89" s="2712">
        <f ca="1">N89/N69</f>
        <v>1.6439643024894316E-2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18249</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109</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88" t="s">
        <v>440</v>
      </c>
      <c r="F94" s="3689"/>
      <c r="G94" s="3689"/>
      <c r="H94" s="3690"/>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109</v>
      </c>
      <c r="D96" s="399">
        <f>'数据-取费表'!B43</f>
        <v>6.000000000000001E-3</v>
      </c>
      <c r="E96" s="3647" t="s">
        <v>2206</v>
      </c>
      <c r="F96" s="3648"/>
      <c r="G96" s="3648"/>
      <c r="H96" s="3649"/>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18140</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166.42201834862385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10846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91" t="s">
        <v>447</v>
      </c>
      <c r="B101" s="3692"/>
      <c r="C101" s="3692"/>
      <c r="D101" s="3692"/>
      <c r="E101" s="3692"/>
      <c r="F101" s="3692"/>
      <c r="G101" s="3692"/>
      <c r="H101" s="3692"/>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50" t="s">
        <v>422</v>
      </c>
      <c r="B102" s="3651"/>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18249</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17022</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16913</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16412</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501</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703" t="s">
        <v>2743</v>
      </c>
      <c r="H108" s="3704"/>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81" t="s">
        <v>455</v>
      </c>
      <c r="F109" s="3648"/>
      <c r="G109" s="3648"/>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81" t="s">
        <v>457</v>
      </c>
      <c r="F110" s="3648"/>
      <c r="G110" s="3648"/>
      <c r="H110" s="3649"/>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109</v>
      </c>
      <c r="D111" s="399">
        <f>'数据-取费表'!B43</f>
        <v>6.000000000000001E-3</v>
      </c>
      <c r="E111" s="3647" t="s">
        <v>2206</v>
      </c>
      <c r="F111" s="3648"/>
      <c r="G111" s="3648"/>
      <c r="H111" s="3649"/>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81" t="s">
        <v>2224</v>
      </c>
      <c r="F112" s="3648"/>
      <c r="G112" s="3648"/>
      <c r="H112" s="3649"/>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1227</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7.2083186464575261E-2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368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F67" sqref="F6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20569</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2200</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4222</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281</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43" t="s">
        <v>499</v>
      </c>
      <c r="D6" s="3744"/>
      <c r="E6" s="3743" t="s">
        <v>500</v>
      </c>
      <c r="F6" s="3744"/>
      <c r="G6" s="3743" t="s">
        <v>501</v>
      </c>
      <c r="H6" s="3744"/>
      <c r="I6" s="3743" t="s">
        <v>502</v>
      </c>
      <c r="J6" s="3744"/>
      <c r="K6" s="489" t="s">
        <v>503</v>
      </c>
      <c r="L6" s="1964"/>
      <c r="M6" s="1963"/>
      <c r="N6" s="1963"/>
      <c r="O6" s="1965"/>
      <c r="P6" s="3745" t="s">
        <v>504</v>
      </c>
      <c r="Q6" s="3746"/>
      <c r="R6" s="3729" t="s">
        <v>500</v>
      </c>
      <c r="S6" s="3730"/>
      <c r="T6" s="3729" t="s">
        <v>501</v>
      </c>
      <c r="U6" s="3730"/>
      <c r="V6" s="3751" t="s">
        <v>502</v>
      </c>
      <c r="W6" s="3751"/>
      <c r="X6" s="1455"/>
      <c r="Y6" s="3729" t="s">
        <v>504</v>
      </c>
      <c r="Z6" s="3730"/>
      <c r="AA6" s="3724" t="s">
        <v>500</v>
      </c>
      <c r="AB6" s="3725" t="s">
        <v>501</v>
      </c>
      <c r="AC6" s="3724" t="s">
        <v>502</v>
      </c>
    </row>
    <row r="7" spans="1:30" ht="36" customHeight="1">
      <c r="A7" s="490"/>
      <c r="B7" s="491"/>
      <c r="C7" s="3754" t="s">
        <v>2683</v>
      </c>
      <c r="D7" s="3755"/>
      <c r="E7" s="3754" t="str">
        <f>土地案例!A2</f>
        <v>夷陵区东城试验区郭家湾村、鄢家河村</v>
      </c>
      <c r="F7" s="3755"/>
      <c r="G7" s="3754" t="str">
        <f>土地案例!A4</f>
        <v>夷陵区东城试验区梅子垭村</v>
      </c>
      <c r="H7" s="3755"/>
      <c r="I7" s="3754" t="str">
        <f>土地案例!A11</f>
        <v>东城试验区郭家湾村</v>
      </c>
      <c r="J7" s="3755"/>
      <c r="K7" s="489"/>
      <c r="L7" s="1964"/>
      <c r="M7" s="1963"/>
      <c r="N7" s="1963"/>
      <c r="O7" s="1965"/>
      <c r="P7" s="3747"/>
      <c r="Q7" s="3748"/>
      <c r="R7" s="3731"/>
      <c r="S7" s="3732"/>
      <c r="T7" s="3731"/>
      <c r="U7" s="3732"/>
      <c r="V7" s="3751"/>
      <c r="W7" s="3751"/>
      <c r="X7" s="1455"/>
      <c r="Y7" s="3731"/>
      <c r="Z7" s="3732"/>
      <c r="AA7" s="3725"/>
      <c r="AB7" s="3725"/>
      <c r="AC7" s="3725"/>
    </row>
    <row r="8" spans="1:30" ht="21" thickBot="1">
      <c r="A8" s="490"/>
      <c r="B8" s="491"/>
      <c r="C8" s="3756" t="s">
        <v>2687</v>
      </c>
      <c r="D8" s="3757"/>
      <c r="E8" s="3756" t="s">
        <v>2687</v>
      </c>
      <c r="F8" s="3757"/>
      <c r="G8" s="3752" t="s">
        <v>2687</v>
      </c>
      <c r="H8" s="3753"/>
      <c r="I8" s="3752" t="s">
        <v>2687</v>
      </c>
      <c r="J8" s="3753"/>
      <c r="K8" s="489" t="s">
        <v>505</v>
      </c>
      <c r="L8" s="1964"/>
      <c r="M8" s="1963"/>
      <c r="N8" s="1963"/>
      <c r="O8" s="1965"/>
      <c r="P8" s="3749"/>
      <c r="Q8" s="3750"/>
      <c r="R8" s="3731"/>
      <c r="S8" s="3732"/>
      <c r="T8" s="3733"/>
      <c r="U8" s="3734"/>
      <c r="V8" s="3751"/>
      <c r="W8" s="3751"/>
      <c r="X8" s="1455"/>
      <c r="Y8" s="3733"/>
      <c r="Z8" s="3734"/>
      <c r="AA8" s="3726"/>
      <c r="AB8" s="3726"/>
      <c r="AC8" s="3726"/>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27" t="s">
        <v>507</v>
      </c>
      <c r="Q9" s="3736"/>
      <c r="R9" s="1456" t="s">
        <v>8</v>
      </c>
      <c r="S9" s="1457">
        <f t="shared" ref="S9:S17" si="0">F9</f>
        <v>99.9</v>
      </c>
      <c r="T9" s="1456" t="s">
        <v>8</v>
      </c>
      <c r="U9" s="1457">
        <f t="shared" ref="U9:U17" si="1">H9</f>
        <v>99.800000000000011</v>
      </c>
      <c r="V9" s="1456" t="s">
        <v>8</v>
      </c>
      <c r="W9" s="1457">
        <f t="shared" ref="W9:W17" si="2">J9</f>
        <v>99.100000000000051</v>
      </c>
      <c r="X9" s="1458"/>
      <c r="Y9" s="3727" t="s">
        <v>507</v>
      </c>
      <c r="Z9" s="3728"/>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27" t="s">
        <v>510</v>
      </c>
      <c r="Q10" s="3728"/>
      <c r="R10" s="1456" t="s">
        <v>8</v>
      </c>
      <c r="S10" s="1457">
        <f t="shared" si="0"/>
        <v>100</v>
      </c>
      <c r="T10" s="1456" t="s">
        <v>8</v>
      </c>
      <c r="U10" s="1457">
        <f t="shared" si="1"/>
        <v>100</v>
      </c>
      <c r="V10" s="1456" t="s">
        <v>8</v>
      </c>
      <c r="W10" s="1457">
        <f t="shared" si="2"/>
        <v>100</v>
      </c>
      <c r="X10" s="1458"/>
      <c r="Y10" s="3727" t="s">
        <v>510</v>
      </c>
      <c r="Z10" s="3728"/>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35" t="s">
        <v>512</v>
      </c>
      <c r="Q11" s="1096" t="str">
        <f t="shared" ref="Q11:Q17" si="6">B11</f>
        <v>用途</v>
      </c>
      <c r="R11" s="1456" t="s">
        <v>8</v>
      </c>
      <c r="S11" s="1457">
        <f t="shared" si="0"/>
        <v>100</v>
      </c>
      <c r="T11" s="1456" t="s">
        <v>8</v>
      </c>
      <c r="U11" s="1457">
        <f t="shared" si="1"/>
        <v>100</v>
      </c>
      <c r="V11" s="1456" t="s">
        <v>8</v>
      </c>
      <c r="W11" s="1457">
        <f t="shared" si="2"/>
        <v>100</v>
      </c>
      <c r="X11" s="1458"/>
      <c r="Y11" s="3687"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35"/>
      <c r="Q12" s="1096" t="str">
        <f t="shared" si="6"/>
        <v>土地使用年限（年）</v>
      </c>
      <c r="R12" s="1456" t="s">
        <v>8</v>
      </c>
      <c r="S12" s="1457">
        <f t="shared" si="0"/>
        <v>101</v>
      </c>
      <c r="T12" s="1456" t="s">
        <v>8</v>
      </c>
      <c r="U12" s="1457">
        <f t="shared" si="1"/>
        <v>101</v>
      </c>
      <c r="V12" s="1456" t="s">
        <v>8</v>
      </c>
      <c r="W12" s="1457">
        <f t="shared" si="2"/>
        <v>101</v>
      </c>
      <c r="X12" s="1458"/>
      <c r="Y12" s="3687"/>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35"/>
      <c r="Q13" s="1096" t="str">
        <f t="shared" si="6"/>
        <v>容积率</v>
      </c>
      <c r="R13" s="1456" t="s">
        <v>8</v>
      </c>
      <c r="S13" s="1457">
        <f t="shared" si="0"/>
        <v>102</v>
      </c>
      <c r="T13" s="1456" t="s">
        <v>8</v>
      </c>
      <c r="U13" s="1457">
        <f t="shared" si="1"/>
        <v>100</v>
      </c>
      <c r="V13" s="1456" t="s">
        <v>8</v>
      </c>
      <c r="W13" s="1457">
        <f t="shared" si="2"/>
        <v>100</v>
      </c>
      <c r="X13" s="1458"/>
      <c r="Y13" s="3687"/>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35"/>
      <c r="Q14" s="1096" t="str">
        <f t="shared" si="6"/>
        <v>配建</v>
      </c>
      <c r="R14" s="1456" t="s">
        <v>8</v>
      </c>
      <c r="S14" s="1457">
        <f t="shared" si="0"/>
        <v>100</v>
      </c>
      <c r="T14" s="1456" t="s">
        <v>8</v>
      </c>
      <c r="U14" s="1457">
        <f t="shared" si="1"/>
        <v>100</v>
      </c>
      <c r="V14" s="1456" t="s">
        <v>8</v>
      </c>
      <c r="W14" s="1457">
        <f t="shared" si="2"/>
        <v>100</v>
      </c>
      <c r="X14" s="1458"/>
      <c r="Y14" s="3687"/>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35"/>
      <c r="Q15" s="1096">
        <f t="shared" si="6"/>
        <v>111</v>
      </c>
      <c r="R15" s="1456" t="s">
        <v>8</v>
      </c>
      <c r="S15" s="1457">
        <f t="shared" si="0"/>
        <v>100</v>
      </c>
      <c r="T15" s="1456" t="s">
        <v>8</v>
      </c>
      <c r="U15" s="1457">
        <f t="shared" si="1"/>
        <v>100</v>
      </c>
      <c r="V15" s="1456" t="s">
        <v>8</v>
      </c>
      <c r="W15" s="1457">
        <f t="shared" si="2"/>
        <v>100</v>
      </c>
      <c r="X15" s="1458"/>
      <c r="Y15" s="3687"/>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35"/>
      <c r="Q16" s="1096">
        <f t="shared" si="6"/>
        <v>111</v>
      </c>
      <c r="R16" s="1456" t="s">
        <v>8</v>
      </c>
      <c r="S16" s="1457">
        <f t="shared" si="0"/>
        <v>100</v>
      </c>
      <c r="T16" s="1456" t="s">
        <v>8</v>
      </c>
      <c r="U16" s="1457">
        <f t="shared" si="1"/>
        <v>100</v>
      </c>
      <c r="V16" s="1456" t="s">
        <v>8</v>
      </c>
      <c r="W16" s="1457">
        <f t="shared" si="2"/>
        <v>100</v>
      </c>
      <c r="X16" s="1458"/>
      <c r="Y16" s="3687"/>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37" t="s">
        <v>517</v>
      </c>
      <c r="Q17" s="1460" t="str">
        <f t="shared" si="6"/>
        <v>居住社区成熟度</v>
      </c>
      <c r="R17" s="1461" t="s">
        <v>8</v>
      </c>
      <c r="S17" s="1462">
        <f t="shared" si="0"/>
        <v>100</v>
      </c>
      <c r="T17" s="1461" t="s">
        <v>8</v>
      </c>
      <c r="U17" s="1462">
        <f t="shared" si="1"/>
        <v>100</v>
      </c>
      <c r="V17" s="1461" t="s">
        <v>8</v>
      </c>
      <c r="W17" s="1462">
        <f t="shared" si="2"/>
        <v>100</v>
      </c>
      <c r="X17" s="1455"/>
      <c r="Y17" s="3737"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38"/>
      <c r="Q18" s="1460"/>
      <c r="R18" s="1461"/>
      <c r="S18" s="1462"/>
      <c r="T18" s="1461"/>
      <c r="U18" s="1462"/>
      <c r="V18" s="1461"/>
      <c r="W18" s="1462"/>
      <c r="X18" s="1455"/>
      <c r="Y18" s="3738"/>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38"/>
      <c r="Q19" s="1460" t="str">
        <f>B19</f>
        <v>商业繁华度</v>
      </c>
      <c r="R19" s="1461" t="s">
        <v>8</v>
      </c>
      <c r="S19" s="1462">
        <f>F19</f>
        <v>100</v>
      </c>
      <c r="T19" s="1461" t="s">
        <v>8</v>
      </c>
      <c r="U19" s="1462">
        <f>H19</f>
        <v>100</v>
      </c>
      <c r="V19" s="1461" t="s">
        <v>8</v>
      </c>
      <c r="W19" s="1462">
        <f>J19</f>
        <v>100</v>
      </c>
      <c r="X19" s="1455"/>
      <c r="Y19" s="3738"/>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38"/>
      <c r="Q20" s="1460"/>
      <c r="R20" s="1461"/>
      <c r="S20" s="1462"/>
      <c r="T20" s="1461"/>
      <c r="U20" s="1462"/>
      <c r="V20" s="1461"/>
      <c r="W20" s="1462"/>
      <c r="X20" s="1455"/>
      <c r="Y20" s="3738"/>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38"/>
      <c r="Q21" s="1460" t="str">
        <f>B21</f>
        <v>办公集聚程度</v>
      </c>
      <c r="R21" s="1461" t="s">
        <v>8</v>
      </c>
      <c r="S21" s="1462">
        <f>F21</f>
        <v>100</v>
      </c>
      <c r="T21" s="1461" t="s">
        <v>8</v>
      </c>
      <c r="U21" s="1462">
        <f>H21</f>
        <v>100</v>
      </c>
      <c r="V21" s="1461" t="s">
        <v>8</v>
      </c>
      <c r="W21" s="1462">
        <f>J21</f>
        <v>100</v>
      </c>
      <c r="X21" s="1455"/>
      <c r="Y21" s="3738"/>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38"/>
      <c r="Q22" s="1460"/>
      <c r="R22" s="1461"/>
      <c r="S22" s="1462"/>
      <c r="T22" s="1461"/>
      <c r="U22" s="1462"/>
      <c r="V22" s="1461"/>
      <c r="W22" s="1462"/>
      <c r="X22" s="1455"/>
      <c r="Y22" s="3738"/>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38"/>
      <c r="Q23" s="1460" t="str">
        <f>B23</f>
        <v>交通便捷度</v>
      </c>
      <c r="R23" s="1461" t="s">
        <v>8</v>
      </c>
      <c r="S23" s="1462">
        <f>F23</f>
        <v>100</v>
      </c>
      <c r="T23" s="1461" t="s">
        <v>8</v>
      </c>
      <c r="U23" s="1462">
        <f>H23</f>
        <v>100</v>
      </c>
      <c r="V23" s="1461" t="s">
        <v>8</v>
      </c>
      <c r="W23" s="1462">
        <f>J23</f>
        <v>100</v>
      </c>
      <c r="X23" s="1455"/>
      <c r="Y23" s="3738"/>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38"/>
      <c r="Q24" s="1460"/>
      <c r="R24" s="1461"/>
      <c r="S24" s="1462"/>
      <c r="T24" s="1461"/>
      <c r="U24" s="1462"/>
      <c r="V24" s="1461"/>
      <c r="W24" s="1462"/>
      <c r="X24" s="1455"/>
      <c r="Y24" s="3738"/>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38"/>
      <c r="Q25" s="1460" t="str">
        <f t="shared" ref="Q25:Q39" si="8">B25</f>
        <v>区域土地利用方向</v>
      </c>
      <c r="R25" s="1461" t="s">
        <v>8</v>
      </c>
      <c r="S25" s="1462">
        <f>F25</f>
        <v>100</v>
      </c>
      <c r="T25" s="1461" t="s">
        <v>8</v>
      </c>
      <c r="U25" s="1462">
        <f>H25</f>
        <v>100</v>
      </c>
      <c r="V25" s="1461" t="s">
        <v>8</v>
      </c>
      <c r="W25" s="1462">
        <f>J25</f>
        <v>100</v>
      </c>
      <c r="X25" s="1455"/>
      <c r="Y25" s="3738"/>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38"/>
      <c r="Q26" s="1460"/>
      <c r="R26" s="1461"/>
      <c r="S26" s="1462"/>
      <c r="T26" s="1461"/>
      <c r="U26" s="1462"/>
      <c r="V26" s="1461"/>
      <c r="W26" s="1462"/>
      <c r="X26" s="1455"/>
      <c r="Y26" s="3738"/>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38"/>
      <c r="Q27" s="1460" t="str">
        <f t="shared" si="8"/>
        <v>自然及人文环境状况</v>
      </c>
      <c r="R27" s="1461" t="s">
        <v>8</v>
      </c>
      <c r="S27" s="1462">
        <f>F27</f>
        <v>100</v>
      </c>
      <c r="T27" s="1461" t="s">
        <v>8</v>
      </c>
      <c r="U27" s="1462">
        <f>H27</f>
        <v>100</v>
      </c>
      <c r="V27" s="1461" t="s">
        <v>8</v>
      </c>
      <c r="W27" s="1462">
        <f>J27</f>
        <v>100</v>
      </c>
      <c r="X27" s="1455"/>
      <c r="Y27" s="3738"/>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38"/>
      <c r="Q28" s="1460"/>
      <c r="R28" s="1461"/>
      <c r="S28" s="1462"/>
      <c r="T28" s="1461"/>
      <c r="U28" s="1462"/>
      <c r="V28" s="1461"/>
      <c r="W28" s="1462"/>
      <c r="X28" s="1455"/>
      <c r="Y28" s="3738"/>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38"/>
      <c r="Q29" s="1096" t="str">
        <f t="shared" si="8"/>
        <v>公共配套设施</v>
      </c>
      <c r="R29" s="1456" t="s">
        <v>8</v>
      </c>
      <c r="S29" s="1457">
        <f>F29</f>
        <v>100</v>
      </c>
      <c r="T29" s="1456" t="s">
        <v>8</v>
      </c>
      <c r="U29" s="1457">
        <f>H29</f>
        <v>100</v>
      </c>
      <c r="V29" s="1456" t="s">
        <v>8</v>
      </c>
      <c r="W29" s="1457">
        <f>J29</f>
        <v>100</v>
      </c>
      <c r="X29" s="1458"/>
      <c r="Y29" s="3738"/>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38"/>
      <c r="Q30" s="1096"/>
      <c r="R30" s="1456"/>
      <c r="S30" s="1457"/>
      <c r="T30" s="1456"/>
      <c r="U30" s="1457"/>
      <c r="V30" s="1456"/>
      <c r="W30" s="1457"/>
      <c r="X30" s="1458"/>
      <c r="Y30" s="3738"/>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38"/>
      <c r="Q31" s="2374" t="str">
        <f t="shared" ref="Q31" si="9">B31</f>
        <v>基础设施水平</v>
      </c>
      <c r="R31" s="1456" t="s">
        <v>8</v>
      </c>
      <c r="S31" s="1457">
        <f>F31</f>
        <v>100</v>
      </c>
      <c r="T31" s="1456" t="s">
        <v>8</v>
      </c>
      <c r="U31" s="1457">
        <f>H31</f>
        <v>100</v>
      </c>
      <c r="V31" s="1456" t="s">
        <v>8</v>
      </c>
      <c r="W31" s="1457">
        <f>J31</f>
        <v>100</v>
      </c>
      <c r="X31" s="1458"/>
      <c r="Y31" s="3738"/>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38"/>
      <c r="Q32" s="2374"/>
      <c r="R32" s="1456"/>
      <c r="S32" s="1457"/>
      <c r="T32" s="1456"/>
      <c r="U32" s="1457"/>
      <c r="V32" s="1456"/>
      <c r="W32" s="1457"/>
      <c r="X32" s="1458"/>
      <c r="Y32" s="3738"/>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3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38"/>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38"/>
      <c r="Q34" s="1460" t="str">
        <f t="shared" si="8"/>
        <v>毗邻道路的类型与等级</v>
      </c>
      <c r="R34" s="1461" t="s">
        <v>8</v>
      </c>
      <c r="S34" s="1462">
        <f t="shared" si="10"/>
        <v>100</v>
      </c>
      <c r="T34" s="1461" t="s">
        <v>8</v>
      </c>
      <c r="U34" s="1462">
        <f t="shared" si="11"/>
        <v>100</v>
      </c>
      <c r="V34" s="1461" t="s">
        <v>8</v>
      </c>
      <c r="W34" s="1462">
        <f t="shared" si="12"/>
        <v>100</v>
      </c>
      <c r="X34" s="1455"/>
      <c r="Y34" s="3738"/>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38"/>
      <c r="Q35" s="1460"/>
      <c r="R35" s="1461"/>
      <c r="S35" s="1462"/>
      <c r="T35" s="1461"/>
      <c r="U35" s="1462"/>
      <c r="V35" s="1461"/>
      <c r="W35" s="1462"/>
      <c r="X35" s="1455"/>
      <c r="Y35" s="3738"/>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38"/>
      <c r="Q36" s="1460" t="str">
        <f t="shared" si="8"/>
        <v>土地级别</v>
      </c>
      <c r="R36" s="1461" t="s">
        <v>8</v>
      </c>
      <c r="S36" s="1462">
        <f t="shared" si="10"/>
        <v>100</v>
      </c>
      <c r="T36" s="1461" t="s">
        <v>8</v>
      </c>
      <c r="U36" s="1462">
        <f t="shared" si="11"/>
        <v>100</v>
      </c>
      <c r="V36" s="1461" t="s">
        <v>8</v>
      </c>
      <c r="W36" s="1462">
        <f t="shared" si="12"/>
        <v>100</v>
      </c>
      <c r="X36" s="1455"/>
      <c r="Y36" s="3738"/>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38"/>
      <c r="Q37" s="1460">
        <f t="shared" si="8"/>
        <v>111</v>
      </c>
      <c r="R37" s="1461" t="s">
        <v>8</v>
      </c>
      <c r="S37" s="1462">
        <f t="shared" si="10"/>
        <v>100</v>
      </c>
      <c r="T37" s="1461" t="s">
        <v>8</v>
      </c>
      <c r="U37" s="1462">
        <f t="shared" si="11"/>
        <v>100</v>
      </c>
      <c r="V37" s="1461" t="s">
        <v>8</v>
      </c>
      <c r="W37" s="1462">
        <f t="shared" si="12"/>
        <v>100</v>
      </c>
      <c r="X37" s="1455"/>
      <c r="Y37" s="3738"/>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39" t="s">
        <v>527</v>
      </c>
      <c r="Q38" s="1460">
        <f t="shared" si="8"/>
        <v>111</v>
      </c>
      <c r="R38" s="1461" t="s">
        <v>8</v>
      </c>
      <c r="S38" s="1462">
        <f t="shared" si="10"/>
        <v>100</v>
      </c>
      <c r="T38" s="1461" t="s">
        <v>8</v>
      </c>
      <c r="U38" s="1462">
        <f t="shared" si="11"/>
        <v>100</v>
      </c>
      <c r="V38" s="1461" t="s">
        <v>8</v>
      </c>
      <c r="W38" s="1462">
        <f t="shared" si="12"/>
        <v>100</v>
      </c>
      <c r="X38" s="1455"/>
      <c r="Y38" s="3740"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40"/>
      <c r="Q39" s="1460">
        <f t="shared" si="8"/>
        <v>111</v>
      </c>
      <c r="R39" s="1465" t="s">
        <v>8</v>
      </c>
      <c r="S39" s="1466">
        <f t="shared" si="10"/>
        <v>100</v>
      </c>
      <c r="T39" s="1465" t="s">
        <v>8</v>
      </c>
      <c r="U39" s="1466">
        <f t="shared" si="11"/>
        <v>100</v>
      </c>
      <c r="V39" s="1465" t="s">
        <v>8</v>
      </c>
      <c r="W39" s="1466">
        <f t="shared" si="12"/>
        <v>100</v>
      </c>
      <c r="X39" s="1467"/>
      <c r="Y39" s="3740"/>
      <c r="Z39" s="1468">
        <f t="shared" si="13"/>
        <v>111</v>
      </c>
      <c r="AA39" s="1464">
        <f t="shared" si="3"/>
        <v>1</v>
      </c>
      <c r="AB39" s="1464">
        <f t="shared" si="4"/>
        <v>1</v>
      </c>
      <c r="AC39" s="1464">
        <f t="shared" si="5"/>
        <v>1</v>
      </c>
    </row>
    <row r="40" spans="1:29" ht="20.25">
      <c r="A40" s="2570" t="s">
        <v>2524</v>
      </c>
      <c r="B40" s="570" t="s">
        <v>529</v>
      </c>
      <c r="C40" s="571">
        <f>'数据-基础表'!A3</f>
        <v>145463.80000000002</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40"/>
      <c r="Q40" s="1460" t="str">
        <f>B40</f>
        <v>宗地面积</v>
      </c>
      <c r="R40" s="1461" t="s">
        <v>8</v>
      </c>
      <c r="S40" s="1462">
        <f t="shared" si="10"/>
        <v>99</v>
      </c>
      <c r="T40" s="1461" t="s">
        <v>8</v>
      </c>
      <c r="U40" s="1462">
        <f t="shared" si="11"/>
        <v>98</v>
      </c>
      <c r="V40" s="1461" t="s">
        <v>8</v>
      </c>
      <c r="W40" s="1462">
        <f t="shared" si="12"/>
        <v>99</v>
      </c>
      <c r="X40" s="1455"/>
      <c r="Y40" s="3740"/>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40"/>
      <c r="Q41" s="1460" t="str">
        <f t="shared" ref="Q41:Q47" si="14">B41</f>
        <v>宗地形状</v>
      </c>
      <c r="R41" s="1461" t="s">
        <v>8</v>
      </c>
      <c r="S41" s="1462">
        <f t="shared" si="10"/>
        <v>100</v>
      </c>
      <c r="T41" s="1461" t="s">
        <v>8</v>
      </c>
      <c r="U41" s="1462">
        <f t="shared" si="11"/>
        <v>100</v>
      </c>
      <c r="V41" s="1461" t="s">
        <v>8</v>
      </c>
      <c r="W41" s="1462">
        <f t="shared" si="12"/>
        <v>100</v>
      </c>
      <c r="X41" s="1455"/>
      <c r="Y41" s="3740"/>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40"/>
      <c r="Q42" s="1460" t="str">
        <f t="shared" si="14"/>
        <v>临街宽度及深度</v>
      </c>
      <c r="R42" s="1461" t="s">
        <v>8</v>
      </c>
      <c r="S42" s="1462">
        <f t="shared" si="10"/>
        <v>100</v>
      </c>
      <c r="T42" s="1461" t="s">
        <v>8</v>
      </c>
      <c r="U42" s="1462">
        <f t="shared" si="11"/>
        <v>100</v>
      </c>
      <c r="V42" s="1461" t="s">
        <v>8</v>
      </c>
      <c r="W42" s="1462">
        <f t="shared" si="12"/>
        <v>100</v>
      </c>
      <c r="X42" s="1455"/>
      <c r="Y42" s="3740"/>
      <c r="Z42" s="1463" t="str">
        <f t="shared" si="13"/>
        <v>临街宽度及深度</v>
      </c>
      <c r="AA42" s="1464">
        <f t="shared" si="3"/>
        <v>1</v>
      </c>
      <c r="AB42" s="1464">
        <f t="shared" si="4"/>
        <v>1</v>
      </c>
      <c r="AC42" s="1464">
        <f t="shared" si="5"/>
        <v>1</v>
      </c>
    </row>
    <row r="43" spans="1:29" s="1165" customFormat="1" ht="20.25">
      <c r="A43" s="575"/>
      <c r="B43" s="1760" t="s">
        <v>2202</v>
      </c>
      <c r="C43" s="576" t="s">
        <v>3725</v>
      </c>
      <c r="D43" s="252">
        <v>100</v>
      </c>
      <c r="E43" s="576" t="s">
        <v>3725</v>
      </c>
      <c r="F43" s="515">
        <f>SUMIF(124:124,E43,125:125)-SUMIF(124:124,C43,125:125)+100</f>
        <v>100</v>
      </c>
      <c r="G43" s="576" t="s">
        <v>3725</v>
      </c>
      <c r="H43" s="515">
        <f>SUMIF(124:124,G43,125:125)-SUMIF(124:124,C43,125:125)+100</f>
        <v>100</v>
      </c>
      <c r="I43" s="576" t="s">
        <v>3725</v>
      </c>
      <c r="J43" s="515">
        <f>SUMIF(124:124,I43,125:125)-SUMIF(124:124,C43,125:125)+100</f>
        <v>100</v>
      </c>
      <c r="K43" s="559">
        <v>0.5</v>
      </c>
      <c r="L43" s="1966"/>
      <c r="M43" s="1963"/>
      <c r="N43" s="1963"/>
      <c r="O43" s="1968"/>
      <c r="P43" s="3740"/>
      <c r="Q43" s="1460" t="str">
        <f t="shared" si="14"/>
        <v>宗地开发程度</v>
      </c>
      <c r="R43" s="1456" t="s">
        <v>8</v>
      </c>
      <c r="S43" s="1457">
        <f t="shared" si="10"/>
        <v>100</v>
      </c>
      <c r="T43" s="1456" t="s">
        <v>8</v>
      </c>
      <c r="U43" s="1457">
        <f t="shared" si="11"/>
        <v>100</v>
      </c>
      <c r="V43" s="1456" t="s">
        <v>8</v>
      </c>
      <c r="W43" s="1457">
        <f t="shared" si="12"/>
        <v>100</v>
      </c>
      <c r="X43" s="1458"/>
      <c r="Y43" s="3740"/>
      <c r="Z43" s="1095" t="str">
        <f t="shared" si="13"/>
        <v>宗地开发程度</v>
      </c>
      <c r="AA43" s="1459">
        <f t="shared" si="3"/>
        <v>1</v>
      </c>
      <c r="AB43" s="1459">
        <f t="shared" si="4"/>
        <v>1</v>
      </c>
      <c r="AC43" s="1459">
        <f t="shared" si="5"/>
        <v>1</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40" t="s">
        <v>527</v>
      </c>
      <c r="Q44" s="1460" t="str">
        <f t="shared" si="14"/>
        <v>工程地质条件</v>
      </c>
      <c r="R44" s="1461" t="s">
        <v>8</v>
      </c>
      <c r="S44" s="1462">
        <f t="shared" si="10"/>
        <v>100</v>
      </c>
      <c r="T44" s="1461" t="s">
        <v>8</v>
      </c>
      <c r="U44" s="1462">
        <f t="shared" si="11"/>
        <v>100</v>
      </c>
      <c r="V44" s="1461" t="s">
        <v>8</v>
      </c>
      <c r="W44" s="1462">
        <f t="shared" si="12"/>
        <v>100</v>
      </c>
      <c r="X44" s="1455"/>
      <c r="Y44" s="3740"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40"/>
      <c r="Q45" s="1460">
        <f t="shared" si="14"/>
        <v>111</v>
      </c>
      <c r="R45" s="1461" t="s">
        <v>8</v>
      </c>
      <c r="S45" s="1462">
        <f t="shared" si="10"/>
        <v>100</v>
      </c>
      <c r="T45" s="1461" t="s">
        <v>8</v>
      </c>
      <c r="U45" s="1462">
        <f t="shared" si="11"/>
        <v>100</v>
      </c>
      <c r="V45" s="1461" t="s">
        <v>8</v>
      </c>
      <c r="W45" s="1462">
        <f t="shared" si="12"/>
        <v>100</v>
      </c>
      <c r="X45" s="1455"/>
      <c r="Y45" s="3740"/>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40"/>
      <c r="Q46" s="1460">
        <f t="shared" si="14"/>
        <v>111</v>
      </c>
      <c r="R46" s="1461" t="s">
        <v>8</v>
      </c>
      <c r="S46" s="1462">
        <f t="shared" si="10"/>
        <v>100</v>
      </c>
      <c r="T46" s="1461" t="s">
        <v>8</v>
      </c>
      <c r="U46" s="1462">
        <f t="shared" si="11"/>
        <v>100</v>
      </c>
      <c r="V46" s="1461" t="s">
        <v>8</v>
      </c>
      <c r="W46" s="1462">
        <f t="shared" si="12"/>
        <v>100</v>
      </c>
      <c r="X46" s="1455"/>
      <c r="Y46" s="3740"/>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40"/>
      <c r="Q47" s="1460">
        <f t="shared" si="14"/>
        <v>111</v>
      </c>
      <c r="R47" s="1465" t="s">
        <v>8</v>
      </c>
      <c r="S47" s="1466">
        <f t="shared" si="10"/>
        <v>100</v>
      </c>
      <c r="T47" s="1465" t="s">
        <v>8</v>
      </c>
      <c r="U47" s="1466">
        <f t="shared" si="11"/>
        <v>100</v>
      </c>
      <c r="V47" s="1465" t="s">
        <v>8</v>
      </c>
      <c r="W47" s="1466">
        <f t="shared" si="12"/>
        <v>100</v>
      </c>
      <c r="X47" s="1467"/>
      <c r="Y47" s="3740"/>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35" t="str">
        <f>A48</f>
        <v>成交单价</v>
      </c>
      <c r="Q48" s="3735"/>
      <c r="R48" s="3751">
        <f>E48</f>
        <v>2301</v>
      </c>
      <c r="S48" s="3751"/>
      <c r="T48" s="3751">
        <f>G48</f>
        <v>2211</v>
      </c>
      <c r="U48" s="3751"/>
      <c r="V48" s="3751">
        <f>I48</f>
        <v>2332</v>
      </c>
      <c r="W48" s="3751"/>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35" t="str">
        <f>A49</f>
        <v>比较价格（元/平方米）</v>
      </c>
      <c r="Q49" s="3735"/>
      <c r="R49" s="3759">
        <f>ROUND(PRODUCT(R48,AA9:AA47),0)</f>
        <v>2258</v>
      </c>
      <c r="S49" s="3759"/>
      <c r="T49" s="3759">
        <f>ROUND(PRODUCT(T48,AB9:AB47),0)</f>
        <v>2238</v>
      </c>
      <c r="U49" s="3759"/>
      <c r="V49" s="3759">
        <f>ROUND(PRODUCT(V48,AC9:AC47),0)</f>
        <v>2353</v>
      </c>
      <c r="W49" s="3759"/>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41" t="str">
        <f>A50</f>
        <v>估价对象XX用房的比较价格（楼面单价，元/平方米）</v>
      </c>
      <c r="Q50" s="3742"/>
      <c r="R50" s="3758">
        <f>ROUND(IF(D49="简单平均",AVERAGE(R49:W49),R49*F49+T49*H49+V49*J49),0)</f>
        <v>2283</v>
      </c>
      <c r="S50" s="3758"/>
      <c r="T50" s="3758"/>
      <c r="U50" s="3758"/>
      <c r="V50" s="3758"/>
      <c r="W50" s="3758"/>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20" t="s">
        <v>2063</v>
      </c>
      <c r="H57" s="3721"/>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项目情况!J41+项目情况!O23+项目情况!O25</f>
        <v>90094.529999999955</v>
      </c>
      <c r="F58" s="609">
        <f t="shared" ref="F58:F66" si="15">ROUND(B58*E58/10000,0)</f>
        <v>20569</v>
      </c>
      <c r="G58" s="3722"/>
      <c r="H58" s="3723"/>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90094.529999999955</v>
      </c>
      <c r="F67" s="617">
        <f>IF(B48="楼面地价",SUM(F58:F66),ROUND(C50*E67/10000,0))</f>
        <v>20569</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6" t="str">
        <f>项目基本情况!B1</f>
        <v>湖北省宜昌市夷陵区东城试验区郭家湾村出让国有建设用地使用权抵押价格预评估</v>
      </c>
      <c r="C37" s="3546"/>
      <c r="D37" s="3546"/>
      <c r="E37" s="3546"/>
      <c r="F37" s="3546"/>
      <c r="G37" s="3546"/>
      <c r="H37" s="3546"/>
      <c r="I37" s="3546"/>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52" sqref="L52"/>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31" s="1874" customFormat="1" ht="18" customHeight="1">
      <c r="A2" s="1933" t="s">
        <v>460</v>
      </c>
      <c r="B2" s="1937">
        <f ca="1">C36</f>
        <v>17752</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1899</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3643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243</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 ca="1">SUM(C10:K10)</f>
        <v>66528.639613999985</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3322</v>
      </c>
      <c r="D7" s="429" t="s">
        <v>3323</v>
      </c>
      <c r="E7" s="429" t="s">
        <v>3324</v>
      </c>
      <c r="F7" s="429" t="s">
        <v>3318</v>
      </c>
      <c r="G7" s="429" t="s">
        <v>35</v>
      </c>
      <c r="H7" s="429"/>
      <c r="I7" s="429"/>
      <c r="J7" s="429"/>
      <c r="K7" s="430"/>
      <c r="AA7" s="1944"/>
      <c r="AB7" s="1944"/>
      <c r="AC7" s="1944"/>
      <c r="AD7" s="1944"/>
      <c r="AE7" s="1944"/>
    </row>
    <row r="8" spans="1:31" s="1947" customFormat="1" ht="13.5" customHeight="1">
      <c r="A8" s="774" t="s">
        <v>1638</v>
      </c>
      <c r="B8" s="258" t="s">
        <v>465</v>
      </c>
      <c r="C8" s="2497">
        <v>6300</v>
      </c>
      <c r="D8" s="2497">
        <f>'不动产比较法-住宅'!C48</f>
        <v>7136</v>
      </c>
      <c r="E8" s="2497">
        <f>'不动产比较法-低密'!C48</f>
        <v>6550</v>
      </c>
      <c r="F8" s="2497">
        <f ca="1">不动产收益法!B3</f>
        <v>7726</v>
      </c>
      <c r="G8" s="2497">
        <f ca="1">不动产收益法车!B3</f>
        <v>0</v>
      </c>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0</v>
      </c>
      <c r="D9" s="434">
        <f>SUMIF('数据-汇总表'!$C19:$C33,'剩余法-待开发'!D7,'数据-汇总表'!$E19:$E33)</f>
        <v>76421.239999999962</v>
      </c>
      <c r="E9" s="434">
        <f>SUMIF('数据-汇总表'!$C19:$C33,'剩余法-待开发'!E7,'数据-汇总表'!$E19:$E33)</f>
        <v>10222.049999999999</v>
      </c>
      <c r="F9" s="434">
        <f>SUMIF('数据-汇总表'!$C19:$C33,'剩余法-待开发'!F7,'数据-汇总表'!$E19:$E33)</f>
        <v>6858.59</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0</v>
      </c>
      <c r="D10" s="2686">
        <f t="shared" ref="D10:E10" si="0">D8*D9/10000</f>
        <v>54534.196863999976</v>
      </c>
      <c r="E10" s="2686">
        <f t="shared" si="0"/>
        <v>6695.4427499999993</v>
      </c>
      <c r="F10" s="2686">
        <f ca="1">不动产收益法!B2</f>
        <v>5299</v>
      </c>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28051</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842</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1300</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1683</v>
      </c>
      <c r="D16" s="2507">
        <f ca="1">IF(B1="",'数据-汇总表'!E3,INDIRECT("'数据-取费表'!K"&amp;$K$1)+INDIRECT("'数据-取费表'!S"&amp;$K$1))</f>
        <v>93501.879999999961</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421</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32297</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561</v>
      </c>
      <c r="D19" s="2517">
        <f ca="1">D16</f>
        <v>93501.879999999961</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655</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607</v>
      </c>
      <c r="D21" s="2507">
        <f ca="1">IF(B1="",'数据-汇总表'!E5,IF(INDIRECT("'数据-取费表'!c"&amp;$K$1)="住宅",INDIRECT("'数据-取费表'!k"&amp;$K$1),0))</f>
        <v>86643.289999999964</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48</v>
      </c>
      <c r="D22" s="2507">
        <f ca="1">IF(B1="",'数据-汇总表'!E6,IF(INDIRECT("'数据-取费表'!c"&amp;$K$1)="住宅",INDIRECT("'数据-取费表'!s"&amp;$K$1),INDIRECT("'数据-取费表'!k"&amp;$K$1)+INDIRECT("'数据-取费表'!s"&amp;$K$1)))</f>
        <v>6858.5899999999965</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503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 ca="1">ROUND(C6*F24,0)</f>
        <v>998</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2091</v>
      </c>
      <c r="D26" s="459">
        <f ca="1">C27</f>
        <v>0.1268</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0.1268</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2091</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 ca="1">ROUND(C6*F29/(1+'数据-取费表'!C42),0)</f>
        <v>3548</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40653</v>
      </c>
      <c r="D30" s="469">
        <f ca="1">C32</f>
        <v>0.1573</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40653</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0.1573</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3501</v>
      </c>
      <c r="D33" s="459">
        <f ca="1">C34</f>
        <v>0.1031</v>
      </c>
      <c r="E33" s="461" t="s">
        <v>486</v>
      </c>
      <c r="F33" s="471">
        <f ca="1">IF(B1="",'数据-取费表'!Q16,INDIRECT("'数据-取费表'!q"&amp;$K$1))</f>
        <v>0.1</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0.1031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3501</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17752</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28051</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842</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1300</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1683</v>
      </c>
      <c r="D16" s="443">
        <f ca="1">IF(B1="",'数据-汇总表'!E3,INDIRECT("'数据-取费表'!K"&amp;$K$1)+INDIRECT("'数据-取费表'!S"&amp;$K$1))</f>
        <v>93501.879999999961</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31876</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478</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1932</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3235</v>
      </c>
      <c r="D21" s="3211"/>
      <c r="E21" s="454"/>
      <c r="F21" s="471">
        <f ca="1">IF(B1="",'数据-取费表'!Q16,INDIRECT("'数据-取费表'!q"&amp;$K$1))</f>
        <v>0.1</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60" t="s">
        <v>2809</v>
      </c>
      <c r="B24" s="3761"/>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60" t="s">
        <v>2810</v>
      </c>
      <c r="B25" s="3761"/>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60" t="s">
        <v>2811</v>
      </c>
      <c r="B26" s="3761"/>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62" t="s">
        <v>2812</v>
      </c>
      <c r="B27" s="3763"/>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43" t="s">
        <v>499</v>
      </c>
      <c r="D6" s="3744"/>
      <c r="E6" s="3769" t="s">
        <v>500</v>
      </c>
      <c r="F6" s="3770"/>
      <c r="G6" s="3743" t="s">
        <v>501</v>
      </c>
      <c r="H6" s="3744"/>
      <c r="I6" s="3743" t="s">
        <v>502</v>
      </c>
      <c r="J6" s="3744"/>
      <c r="K6" s="489" t="s">
        <v>503</v>
      </c>
      <c r="L6" s="1964"/>
      <c r="M6" s="1965"/>
      <c r="N6" s="1965"/>
      <c r="O6" s="1965"/>
      <c r="P6" s="3745" t="s">
        <v>504</v>
      </c>
      <c r="Q6" s="3746"/>
      <c r="R6" s="3729" t="s">
        <v>500</v>
      </c>
      <c r="S6" s="3730"/>
      <c r="T6" s="3729" t="s">
        <v>501</v>
      </c>
      <c r="U6" s="3730"/>
      <c r="V6" s="3751" t="s">
        <v>502</v>
      </c>
      <c r="W6" s="3751"/>
      <c r="X6" s="1455"/>
      <c r="Y6" s="3729" t="s">
        <v>504</v>
      </c>
      <c r="Z6" s="3730"/>
      <c r="AA6" s="3724" t="s">
        <v>500</v>
      </c>
      <c r="AB6" s="3725" t="s">
        <v>501</v>
      </c>
      <c r="AC6" s="3724" t="s">
        <v>502</v>
      </c>
    </row>
    <row r="7" spans="1:29" ht="15">
      <c r="A7" s="490"/>
      <c r="B7" s="491"/>
      <c r="C7" s="3754" t="s">
        <v>2683</v>
      </c>
      <c r="D7" s="3755"/>
      <c r="E7" s="3771" t="s">
        <v>2684</v>
      </c>
      <c r="F7" s="3772"/>
      <c r="G7" s="3754" t="s">
        <v>2685</v>
      </c>
      <c r="H7" s="3755"/>
      <c r="I7" s="3754" t="s">
        <v>2686</v>
      </c>
      <c r="J7" s="3755"/>
      <c r="K7" s="489"/>
      <c r="L7" s="1964"/>
      <c r="M7" s="1965"/>
      <c r="N7" s="1965"/>
      <c r="O7" s="1965"/>
      <c r="P7" s="3747"/>
      <c r="Q7" s="3748"/>
      <c r="R7" s="3731"/>
      <c r="S7" s="3732"/>
      <c r="T7" s="3731"/>
      <c r="U7" s="3732"/>
      <c r="V7" s="3751"/>
      <c r="W7" s="3751"/>
      <c r="X7" s="1455"/>
      <c r="Y7" s="3731"/>
      <c r="Z7" s="3732"/>
      <c r="AA7" s="3725"/>
      <c r="AB7" s="3725"/>
      <c r="AC7" s="3725"/>
    </row>
    <row r="8" spans="1:29" ht="15.75" thickBot="1">
      <c r="A8" s="492"/>
      <c r="B8" s="493"/>
      <c r="C8" s="3752" t="s">
        <v>2687</v>
      </c>
      <c r="D8" s="3753"/>
      <c r="E8" s="3773" t="s">
        <v>2687</v>
      </c>
      <c r="F8" s="3774"/>
      <c r="G8" s="3752" t="s">
        <v>2687</v>
      </c>
      <c r="H8" s="3753"/>
      <c r="I8" s="3752" t="s">
        <v>2687</v>
      </c>
      <c r="J8" s="3753"/>
      <c r="K8" s="489" t="s">
        <v>505</v>
      </c>
      <c r="L8" s="1964"/>
      <c r="M8" s="1965"/>
      <c r="N8" s="1965"/>
      <c r="O8" s="1965"/>
      <c r="P8" s="3749"/>
      <c r="Q8" s="3750"/>
      <c r="R8" s="3731"/>
      <c r="S8" s="3732"/>
      <c r="T8" s="3733"/>
      <c r="U8" s="3734"/>
      <c r="V8" s="3751"/>
      <c r="W8" s="3751"/>
      <c r="X8" s="1455"/>
      <c r="Y8" s="3733"/>
      <c r="Z8" s="3734"/>
      <c r="AA8" s="3726"/>
      <c r="AB8" s="3726"/>
      <c r="AC8" s="3726"/>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27" t="s">
        <v>507</v>
      </c>
      <c r="Q9" s="3736"/>
      <c r="R9" s="1456" t="s">
        <v>8</v>
      </c>
      <c r="S9" s="1457">
        <f t="shared" ref="S9:S17" si="0">F9</f>
        <v>0</v>
      </c>
      <c r="T9" s="1456" t="s">
        <v>8</v>
      </c>
      <c r="U9" s="1457">
        <f t="shared" ref="U9:U17" si="1">H9</f>
        <v>0</v>
      </c>
      <c r="V9" s="1456" t="s">
        <v>8</v>
      </c>
      <c r="W9" s="1457">
        <f t="shared" ref="W9:W17" si="2">J9</f>
        <v>0</v>
      </c>
      <c r="X9" s="1458"/>
      <c r="Y9" s="3727" t="s">
        <v>507</v>
      </c>
      <c r="Z9" s="3728"/>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27" t="s">
        <v>510</v>
      </c>
      <c r="Q10" s="3728"/>
      <c r="R10" s="1456" t="s">
        <v>8</v>
      </c>
      <c r="S10" s="1457">
        <f t="shared" si="0"/>
        <v>0</v>
      </c>
      <c r="T10" s="1456" t="s">
        <v>8</v>
      </c>
      <c r="U10" s="1457">
        <f t="shared" si="1"/>
        <v>0</v>
      </c>
      <c r="V10" s="1456" t="s">
        <v>8</v>
      </c>
      <c r="W10" s="1457">
        <f t="shared" si="2"/>
        <v>0</v>
      </c>
      <c r="X10" s="1458"/>
      <c r="Y10" s="3727" t="s">
        <v>510</v>
      </c>
      <c r="Z10" s="3728"/>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35" t="s">
        <v>512</v>
      </c>
      <c r="Q11" s="1096" t="str">
        <f t="shared" ref="Q11:Q17" si="6">B11</f>
        <v>用途</v>
      </c>
      <c r="R11" s="1456" t="s">
        <v>8</v>
      </c>
      <c r="S11" s="1457">
        <f t="shared" si="0"/>
        <v>100</v>
      </c>
      <c r="T11" s="1456" t="s">
        <v>8</v>
      </c>
      <c r="U11" s="1457">
        <f t="shared" si="1"/>
        <v>100</v>
      </c>
      <c r="V11" s="1456" t="s">
        <v>8</v>
      </c>
      <c r="W11" s="1457">
        <f t="shared" si="2"/>
        <v>100</v>
      </c>
      <c r="X11" s="1458"/>
      <c r="Y11" s="3687"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35"/>
      <c r="Q12" s="1096" t="str">
        <f t="shared" si="6"/>
        <v>土地使用年限（年）</v>
      </c>
      <c r="R12" s="1456" t="s">
        <v>8</v>
      </c>
      <c r="S12" s="1457">
        <f t="shared" si="0"/>
        <v>101</v>
      </c>
      <c r="T12" s="1456" t="s">
        <v>8</v>
      </c>
      <c r="U12" s="1457">
        <f t="shared" si="1"/>
        <v>101</v>
      </c>
      <c r="V12" s="1456" t="s">
        <v>8</v>
      </c>
      <c r="W12" s="1457">
        <f t="shared" si="2"/>
        <v>101</v>
      </c>
      <c r="X12" s="1458"/>
      <c r="Y12" s="3687"/>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35"/>
      <c r="Q13" s="1096" t="str">
        <f t="shared" si="6"/>
        <v>容积率</v>
      </c>
      <c r="R13" s="1456" t="s">
        <v>8</v>
      </c>
      <c r="S13" s="1457" t="e">
        <f t="shared" si="0"/>
        <v>#N/A</v>
      </c>
      <c r="T13" s="1456" t="s">
        <v>8</v>
      </c>
      <c r="U13" s="1457" t="e">
        <f t="shared" si="1"/>
        <v>#N/A</v>
      </c>
      <c r="V13" s="1456" t="s">
        <v>8</v>
      </c>
      <c r="W13" s="1457" t="e">
        <f t="shared" si="2"/>
        <v>#N/A</v>
      </c>
      <c r="X13" s="1458"/>
      <c r="Y13" s="3687"/>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35"/>
      <c r="Q15" s="1096">
        <f t="shared" si="6"/>
        <v>111</v>
      </c>
      <c r="R15" s="1456" t="s">
        <v>8</v>
      </c>
      <c r="S15" s="1457">
        <f t="shared" si="0"/>
        <v>100</v>
      </c>
      <c r="T15" s="1456" t="s">
        <v>8</v>
      </c>
      <c r="U15" s="1457">
        <f t="shared" si="1"/>
        <v>100</v>
      </c>
      <c r="V15" s="1456" t="s">
        <v>8</v>
      </c>
      <c r="W15" s="1457">
        <f t="shared" si="2"/>
        <v>100</v>
      </c>
      <c r="X15" s="1458"/>
      <c r="Y15" s="3687"/>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35"/>
      <c r="Q16" s="1096">
        <f t="shared" si="6"/>
        <v>111</v>
      </c>
      <c r="R16" s="1456" t="s">
        <v>8</v>
      </c>
      <c r="S16" s="1457">
        <f t="shared" si="0"/>
        <v>100</v>
      </c>
      <c r="T16" s="1456" t="s">
        <v>8</v>
      </c>
      <c r="U16" s="1457">
        <f t="shared" si="1"/>
        <v>100</v>
      </c>
      <c r="V16" s="1456" t="s">
        <v>8</v>
      </c>
      <c r="W16" s="1457">
        <f t="shared" si="2"/>
        <v>100</v>
      </c>
      <c r="X16" s="1458"/>
      <c r="Y16" s="3687"/>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37" t="s">
        <v>517</v>
      </c>
      <c r="Q17" s="1460" t="str">
        <f t="shared" si="6"/>
        <v>产业集聚程度</v>
      </c>
      <c r="R17" s="1461" t="s">
        <v>8</v>
      </c>
      <c r="S17" s="1462">
        <f t="shared" si="0"/>
        <v>100</v>
      </c>
      <c r="T17" s="1461" t="s">
        <v>8</v>
      </c>
      <c r="U17" s="1462">
        <f t="shared" si="1"/>
        <v>100</v>
      </c>
      <c r="V17" s="1461" t="s">
        <v>8</v>
      </c>
      <c r="W17" s="1462">
        <f t="shared" si="2"/>
        <v>100</v>
      </c>
      <c r="X17" s="1455"/>
      <c r="Y17" s="3737"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38"/>
      <c r="Q18" s="1460"/>
      <c r="R18" s="1461"/>
      <c r="S18" s="1462"/>
      <c r="T18" s="1461"/>
      <c r="U18" s="1462"/>
      <c r="V18" s="1461"/>
      <c r="W18" s="1462"/>
      <c r="X18" s="1455"/>
      <c r="Y18" s="3738"/>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38"/>
      <c r="Q19" s="1460" t="str">
        <f>B19</f>
        <v>交通便捷度</v>
      </c>
      <c r="R19" s="1461" t="s">
        <v>8</v>
      </c>
      <c r="S19" s="1462">
        <f>F19</f>
        <v>100</v>
      </c>
      <c r="T19" s="1461" t="s">
        <v>8</v>
      </c>
      <c r="U19" s="1462">
        <f>H19</f>
        <v>100</v>
      </c>
      <c r="V19" s="1461" t="s">
        <v>8</v>
      </c>
      <c r="W19" s="1462">
        <f>J19</f>
        <v>100</v>
      </c>
      <c r="X19" s="1455"/>
      <c r="Y19" s="3738"/>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38"/>
      <c r="Q21" s="1460" t="str">
        <f t="shared" ref="Q21:Q35" si="8">B21</f>
        <v>区域土地利用方向</v>
      </c>
      <c r="R21" s="1461" t="s">
        <v>8</v>
      </c>
      <c r="S21" s="1462">
        <f>F21</f>
        <v>100</v>
      </c>
      <c r="T21" s="1461" t="s">
        <v>8</v>
      </c>
      <c r="U21" s="1462">
        <f>H21</f>
        <v>100</v>
      </c>
      <c r="V21" s="1461" t="s">
        <v>8</v>
      </c>
      <c r="W21" s="1462">
        <f>J21</f>
        <v>100</v>
      </c>
      <c r="X21" s="1455"/>
      <c r="Y21" s="3738"/>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38"/>
      <c r="Q22" s="1460"/>
      <c r="R22" s="1461"/>
      <c r="S22" s="1462"/>
      <c r="T22" s="1461"/>
      <c r="U22" s="1462"/>
      <c r="V22" s="1461"/>
      <c r="W22" s="1462"/>
      <c r="X22" s="1455"/>
      <c r="Y22" s="3738"/>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38"/>
      <c r="Q23" s="1460" t="str">
        <f t="shared" si="8"/>
        <v>环境状况</v>
      </c>
      <c r="R23" s="1461" t="s">
        <v>8</v>
      </c>
      <c r="S23" s="1462">
        <f>F23</f>
        <v>100</v>
      </c>
      <c r="T23" s="1461" t="s">
        <v>8</v>
      </c>
      <c r="U23" s="1462">
        <f>H23</f>
        <v>100</v>
      </c>
      <c r="V23" s="1461" t="s">
        <v>8</v>
      </c>
      <c r="W23" s="1462">
        <f>J23</f>
        <v>100</v>
      </c>
      <c r="X23" s="1455"/>
      <c r="Y23" s="3738"/>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38"/>
      <c r="Q24" s="1460"/>
      <c r="R24" s="1461"/>
      <c r="S24" s="1462"/>
      <c r="T24" s="1461"/>
      <c r="U24" s="1462"/>
      <c r="V24" s="1461"/>
      <c r="W24" s="1462"/>
      <c r="X24" s="1455"/>
      <c r="Y24" s="3738"/>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38"/>
      <c r="Q25" s="1096" t="str">
        <f t="shared" si="8"/>
        <v>公共配套设施</v>
      </c>
      <c r="R25" s="1456" t="s">
        <v>8</v>
      </c>
      <c r="S25" s="1457">
        <f>F25</f>
        <v>100</v>
      </c>
      <c r="T25" s="1456" t="s">
        <v>8</v>
      </c>
      <c r="U25" s="1457">
        <f>H25</f>
        <v>100</v>
      </c>
      <c r="V25" s="1456" t="s">
        <v>8</v>
      </c>
      <c r="W25" s="1457">
        <f>J25</f>
        <v>100</v>
      </c>
      <c r="X25" s="1458"/>
      <c r="Y25" s="3738"/>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38"/>
      <c r="Q26" s="1096"/>
      <c r="R26" s="1456"/>
      <c r="S26" s="1457"/>
      <c r="T26" s="1456"/>
      <c r="U26" s="1457"/>
      <c r="V26" s="1456"/>
      <c r="W26" s="1457"/>
      <c r="X26" s="1458"/>
      <c r="Y26" s="3738"/>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38"/>
      <c r="Q27" s="2374" t="str">
        <f t="shared" ref="Q27" si="9">B27</f>
        <v>基础设施水平</v>
      </c>
      <c r="R27" s="1456" t="s">
        <v>8</v>
      </c>
      <c r="S27" s="1457">
        <f>F27</f>
        <v>100</v>
      </c>
      <c r="T27" s="1456" t="s">
        <v>8</v>
      </c>
      <c r="U27" s="1457">
        <f>H27</f>
        <v>100</v>
      </c>
      <c r="V27" s="1456" t="s">
        <v>8</v>
      </c>
      <c r="W27" s="1457">
        <f>J27</f>
        <v>100</v>
      </c>
      <c r="X27" s="1458"/>
      <c r="Y27" s="3738"/>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38"/>
      <c r="Q28" s="2374"/>
      <c r="R28" s="1456"/>
      <c r="S28" s="1457"/>
      <c r="T28" s="1456"/>
      <c r="U28" s="1457"/>
      <c r="V28" s="1456"/>
      <c r="W28" s="1457"/>
      <c r="X28" s="1458"/>
      <c r="Y28" s="3738"/>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3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38"/>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38"/>
      <c r="Q30" s="1460" t="str">
        <f t="shared" si="8"/>
        <v>毗邻道路的类型与等级</v>
      </c>
      <c r="R30" s="1461" t="s">
        <v>8</v>
      </c>
      <c r="S30" s="1462">
        <f t="shared" si="10"/>
        <v>100</v>
      </c>
      <c r="T30" s="1461" t="s">
        <v>8</v>
      </c>
      <c r="U30" s="1462">
        <f t="shared" si="11"/>
        <v>100</v>
      </c>
      <c r="V30" s="1461" t="s">
        <v>8</v>
      </c>
      <c r="W30" s="1462">
        <f t="shared" si="12"/>
        <v>100</v>
      </c>
      <c r="X30" s="1455"/>
      <c r="Y30" s="3738"/>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38"/>
      <c r="Q31" s="1460"/>
      <c r="R31" s="1461"/>
      <c r="S31" s="1462"/>
      <c r="T31" s="1461"/>
      <c r="U31" s="1462"/>
      <c r="V31" s="1461"/>
      <c r="W31" s="1462"/>
      <c r="X31" s="1455"/>
      <c r="Y31" s="3738"/>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38"/>
      <c r="Q32" s="1460" t="str">
        <f t="shared" si="8"/>
        <v>土地级别</v>
      </c>
      <c r="R32" s="1461" t="s">
        <v>8</v>
      </c>
      <c r="S32" s="1462">
        <f t="shared" si="10"/>
        <v>100</v>
      </c>
      <c r="T32" s="1461" t="s">
        <v>8</v>
      </c>
      <c r="U32" s="1462">
        <f t="shared" si="11"/>
        <v>100</v>
      </c>
      <c r="V32" s="1461" t="s">
        <v>8</v>
      </c>
      <c r="W32" s="1462">
        <f t="shared" si="12"/>
        <v>100</v>
      </c>
      <c r="X32" s="1455"/>
      <c r="Y32" s="3738"/>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38"/>
      <c r="Q33" s="1460">
        <f t="shared" si="8"/>
        <v>111</v>
      </c>
      <c r="R33" s="1461" t="s">
        <v>8</v>
      </c>
      <c r="S33" s="1462">
        <f t="shared" si="10"/>
        <v>100</v>
      </c>
      <c r="T33" s="1461" t="s">
        <v>8</v>
      </c>
      <c r="U33" s="1462">
        <f t="shared" si="11"/>
        <v>100</v>
      </c>
      <c r="V33" s="1461" t="s">
        <v>8</v>
      </c>
      <c r="W33" s="1462">
        <f t="shared" si="12"/>
        <v>100</v>
      </c>
      <c r="X33" s="1455"/>
      <c r="Y33" s="3738"/>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39" t="s">
        <v>527</v>
      </c>
      <c r="Q34" s="1460">
        <f t="shared" si="8"/>
        <v>111</v>
      </c>
      <c r="R34" s="1461" t="s">
        <v>8</v>
      </c>
      <c r="S34" s="1462">
        <f t="shared" si="10"/>
        <v>100</v>
      </c>
      <c r="T34" s="1461" t="s">
        <v>8</v>
      </c>
      <c r="U34" s="1462">
        <f t="shared" si="11"/>
        <v>100</v>
      </c>
      <c r="V34" s="1461" t="s">
        <v>8</v>
      </c>
      <c r="W34" s="1462">
        <f t="shared" si="12"/>
        <v>100</v>
      </c>
      <c r="X34" s="1455"/>
      <c r="Y34" s="3740"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40"/>
      <c r="Q35" s="1460">
        <f t="shared" si="8"/>
        <v>111</v>
      </c>
      <c r="R35" s="1465" t="s">
        <v>8</v>
      </c>
      <c r="S35" s="1466">
        <f t="shared" si="10"/>
        <v>100</v>
      </c>
      <c r="T35" s="1465" t="s">
        <v>8</v>
      </c>
      <c r="U35" s="1466">
        <f t="shared" si="11"/>
        <v>100</v>
      </c>
      <c r="V35" s="1465" t="s">
        <v>8</v>
      </c>
      <c r="W35" s="1466">
        <f t="shared" si="12"/>
        <v>100</v>
      </c>
      <c r="X35" s="1467"/>
      <c r="Y35" s="3740"/>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40"/>
      <c r="Q36" s="1460" t="str">
        <f>B36</f>
        <v>宗地面积</v>
      </c>
      <c r="R36" s="1461" t="s">
        <v>8</v>
      </c>
      <c r="S36" s="1462" t="e">
        <f t="shared" si="10"/>
        <v>#N/A</v>
      </c>
      <c r="T36" s="1461" t="s">
        <v>8</v>
      </c>
      <c r="U36" s="1462" t="e">
        <f t="shared" si="11"/>
        <v>#N/A</v>
      </c>
      <c r="V36" s="1461" t="s">
        <v>8</v>
      </c>
      <c r="W36" s="1462" t="e">
        <f t="shared" si="12"/>
        <v>#N/A</v>
      </c>
      <c r="X36" s="1455"/>
      <c r="Y36" s="3740"/>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40"/>
      <c r="Q37" s="1460" t="str">
        <f t="shared" ref="Q37:Q42" si="14">B37</f>
        <v>宗地形状</v>
      </c>
      <c r="R37" s="1461" t="s">
        <v>8</v>
      </c>
      <c r="S37" s="1462">
        <f t="shared" si="10"/>
        <v>100</v>
      </c>
      <c r="T37" s="1461" t="s">
        <v>8</v>
      </c>
      <c r="U37" s="1462">
        <f t="shared" si="11"/>
        <v>100</v>
      </c>
      <c r="V37" s="1461" t="s">
        <v>8</v>
      </c>
      <c r="W37" s="1462">
        <f t="shared" si="12"/>
        <v>100</v>
      </c>
      <c r="X37" s="1455"/>
      <c r="Y37" s="3740"/>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40"/>
      <c r="Q38" s="1460" t="str">
        <f t="shared" si="14"/>
        <v>宗地开发程度</v>
      </c>
      <c r="R38" s="1456" t="s">
        <v>8</v>
      </c>
      <c r="S38" s="1457">
        <f t="shared" si="10"/>
        <v>100</v>
      </c>
      <c r="T38" s="1456" t="s">
        <v>8</v>
      </c>
      <c r="U38" s="1457">
        <f t="shared" si="11"/>
        <v>100</v>
      </c>
      <c r="V38" s="1456" t="s">
        <v>8</v>
      </c>
      <c r="W38" s="1457">
        <f t="shared" si="12"/>
        <v>100</v>
      </c>
      <c r="X38" s="1458"/>
      <c r="Y38" s="3740"/>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40" t="s">
        <v>577</v>
      </c>
      <c r="Q39" s="1460" t="str">
        <f t="shared" si="14"/>
        <v>工程地质条件</v>
      </c>
      <c r="R39" s="1461" t="s">
        <v>8</v>
      </c>
      <c r="S39" s="1462">
        <f t="shared" si="10"/>
        <v>100</v>
      </c>
      <c r="T39" s="1461" t="s">
        <v>8</v>
      </c>
      <c r="U39" s="1462">
        <f t="shared" si="11"/>
        <v>100</v>
      </c>
      <c r="V39" s="1461" t="s">
        <v>8</v>
      </c>
      <c r="W39" s="1462">
        <f t="shared" si="12"/>
        <v>100</v>
      </c>
      <c r="X39" s="1455"/>
      <c r="Y39" s="3740"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40"/>
      <c r="Q40" s="1460">
        <f t="shared" si="14"/>
        <v>111</v>
      </c>
      <c r="R40" s="1461" t="s">
        <v>8</v>
      </c>
      <c r="S40" s="1462">
        <f t="shared" si="10"/>
        <v>100</v>
      </c>
      <c r="T40" s="1461" t="s">
        <v>8</v>
      </c>
      <c r="U40" s="1462">
        <f t="shared" si="11"/>
        <v>100</v>
      </c>
      <c r="V40" s="1461" t="s">
        <v>8</v>
      </c>
      <c r="W40" s="1462">
        <f t="shared" si="12"/>
        <v>100</v>
      </c>
      <c r="X40" s="1455"/>
      <c r="Y40" s="3740"/>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40"/>
      <c r="Q41" s="1460">
        <f t="shared" si="14"/>
        <v>111</v>
      </c>
      <c r="R41" s="1461" t="s">
        <v>8</v>
      </c>
      <c r="S41" s="1462">
        <f t="shared" si="10"/>
        <v>100</v>
      </c>
      <c r="T41" s="1461" t="s">
        <v>8</v>
      </c>
      <c r="U41" s="1462">
        <f t="shared" si="11"/>
        <v>100</v>
      </c>
      <c r="V41" s="1461" t="s">
        <v>8</v>
      </c>
      <c r="W41" s="1462">
        <f t="shared" si="12"/>
        <v>100</v>
      </c>
      <c r="X41" s="1455"/>
      <c r="Y41" s="3740"/>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40"/>
      <c r="Q42" s="1460">
        <f t="shared" si="14"/>
        <v>111</v>
      </c>
      <c r="R42" s="1465" t="s">
        <v>8</v>
      </c>
      <c r="S42" s="1466">
        <f t="shared" si="10"/>
        <v>100</v>
      </c>
      <c r="T42" s="1465" t="s">
        <v>8</v>
      </c>
      <c r="U42" s="1466">
        <f t="shared" si="11"/>
        <v>100</v>
      </c>
      <c r="V42" s="1465" t="s">
        <v>8</v>
      </c>
      <c r="W42" s="1466">
        <f t="shared" si="12"/>
        <v>100</v>
      </c>
      <c r="X42" s="1467"/>
      <c r="Y42" s="3740"/>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35" t="str">
        <f>A43</f>
        <v>成交单价</v>
      </c>
      <c r="Q43" s="3735"/>
      <c r="R43" s="3751">
        <f>E43</f>
        <v>0</v>
      </c>
      <c r="S43" s="3751"/>
      <c r="T43" s="3751">
        <f>G43</f>
        <v>0</v>
      </c>
      <c r="U43" s="3751"/>
      <c r="V43" s="3751">
        <f>I43</f>
        <v>0</v>
      </c>
      <c r="W43" s="3751"/>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35" t="str">
        <f>A44</f>
        <v>比较价格（元/平方米）</v>
      </c>
      <c r="Q44" s="3735"/>
      <c r="R44" s="3759" t="e">
        <f>ROUND(PRODUCT(R43,AA9:AA42),0)</f>
        <v>#DIV/0!</v>
      </c>
      <c r="S44" s="3759"/>
      <c r="T44" s="3759" t="e">
        <f>ROUND(PRODUCT(T43,AB9:AB42),0)</f>
        <v>#DIV/0!</v>
      </c>
      <c r="U44" s="3759"/>
      <c r="V44" s="3759" t="e">
        <f>ROUND(PRODUCT(V43,AC9:AC42),0)</f>
        <v>#DIV/0!</v>
      </c>
      <c r="W44" s="3759"/>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41" t="str">
        <f>A45</f>
        <v>估价对象XX用房的比较价格（楼面单价，元/平方米）</v>
      </c>
      <c r="Q45" s="3742"/>
      <c r="R45" s="3768" t="e">
        <f>ROUND(IF(D44="简单平均",AVERAGE(R44:W44),R44*F44+T44*H44+V44*J44),0)</f>
        <v>#DIV/0!</v>
      </c>
      <c r="S45" s="3768"/>
      <c r="T45" s="3768"/>
      <c r="U45" s="3768"/>
      <c r="V45" s="3768"/>
      <c r="W45" s="3768"/>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4" t="s">
        <v>2066</v>
      </c>
      <c r="H52" s="3765"/>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93501.879999999961</v>
      </c>
      <c r="F53" s="1815" t="e">
        <f t="shared" ref="F53:F61" si="15">ROUND(B53*E53/10000,0)</f>
        <v>#DIV/0!</v>
      </c>
      <c r="G53" s="3766"/>
      <c r="H53" s="3767"/>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48722.92</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76"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77"/>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87" t="s">
        <v>2551</v>
      </c>
      <c r="X8" s="3788"/>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77"/>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86"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77"/>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86"/>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77"/>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86"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76"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86"/>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78"/>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86"/>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78"/>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79"/>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76" t="s">
        <v>1631</v>
      </c>
      <c r="B16" s="1329" t="s">
        <v>923</v>
      </c>
      <c r="C16" s="1020" t="e">
        <f>ROUND(IF(F17="与级别开发程度一致",0,(G17-E17)/C17),0)</f>
        <v>#DIV/0!</v>
      </c>
      <c r="D16" s="3794" t="s">
        <v>927</v>
      </c>
      <c r="E16" s="3795"/>
      <c r="F16" s="3794" t="s">
        <v>924</v>
      </c>
      <c r="G16" s="3795"/>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80"/>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3"/>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3"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4"/>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4"/>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4"/>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4"/>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5"/>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5"/>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81" t="s">
        <v>1428</v>
      </c>
      <c r="B90" s="3781"/>
      <c r="C90" s="3781"/>
      <c r="D90" s="3781"/>
      <c r="E90" s="3781"/>
      <c r="F90" s="3781"/>
      <c r="G90" s="3781"/>
      <c r="H90" s="3781"/>
      <c r="I90" s="3781"/>
      <c r="J90" s="3781"/>
      <c r="K90" s="2254"/>
      <c r="L90" s="2254"/>
      <c r="M90" s="2254"/>
      <c r="N90" s="2254"/>
    </row>
    <row r="91" spans="1:40">
      <c r="A91" s="3782" t="s">
        <v>1416</v>
      </c>
      <c r="B91" s="3782" t="s">
        <v>1429</v>
      </c>
      <c r="C91" s="1085" t="s">
        <v>1430</v>
      </c>
      <c r="D91" s="1086"/>
      <c r="E91" s="1086"/>
      <c r="F91" s="1086"/>
      <c r="G91" s="1086"/>
      <c r="H91" s="1086"/>
      <c r="I91" s="1086"/>
      <c r="J91" s="1087"/>
      <c r="K91" s="1079"/>
      <c r="L91" s="1079"/>
      <c r="M91" s="1079"/>
      <c r="N91" s="1079"/>
    </row>
    <row r="92" spans="1:40">
      <c r="A92" s="3782"/>
      <c r="B92" s="3782"/>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89"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90"/>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90"/>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90"/>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90"/>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90"/>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90"/>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91"/>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89"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90"/>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90"/>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90"/>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90"/>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90"/>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90"/>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90"/>
      <c r="B108" s="3792"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91"/>
      <c r="B109" s="3793"/>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75" t="s">
        <v>1434</v>
      </c>
      <c r="B110" s="3775"/>
      <c r="C110" s="3775"/>
      <c r="D110" s="3775"/>
      <c r="E110" s="3775"/>
      <c r="F110" s="3775"/>
      <c r="G110" s="3775"/>
      <c r="H110" s="3775"/>
      <c r="I110" s="3775"/>
      <c r="J110" s="3775"/>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6" t="s">
        <v>2944</v>
      </c>
      <c r="B20" s="3799" t="s">
        <v>2954</v>
      </c>
      <c r="C20" s="3436" t="s">
        <v>2955</v>
      </c>
      <c r="D20" s="3437"/>
      <c r="E20" s="3438">
        <v>1</v>
      </c>
      <c r="F20" s="3439" t="s">
        <v>2956</v>
      </c>
      <c r="G20" s="1079"/>
      <c r="H20" s="1069"/>
      <c r="I20" s="1069"/>
    </row>
    <row r="21" spans="1:13" s="1483" customFormat="1">
      <c r="A21" s="3797"/>
      <c r="B21" s="3800"/>
      <c r="C21" s="3440" t="s">
        <v>2957</v>
      </c>
      <c r="D21" s="3441"/>
      <c r="E21" s="3442">
        <v>1</v>
      </c>
      <c r="F21" s="3439" t="s">
        <v>2958</v>
      </c>
      <c r="G21" s="1079"/>
      <c r="H21" s="1069"/>
      <c r="I21" s="1069"/>
    </row>
    <row r="22" spans="1:13" s="1483" customFormat="1">
      <c r="A22" s="3797"/>
      <c r="B22" s="3800"/>
      <c r="C22" s="3440" t="s">
        <v>2959</v>
      </c>
      <c r="D22" s="3441"/>
      <c r="E22" s="3442">
        <v>0.9</v>
      </c>
      <c r="F22" s="3439" t="s">
        <v>2960</v>
      </c>
      <c r="G22" s="1079"/>
      <c r="H22" s="1069"/>
      <c r="I22" s="1069"/>
    </row>
    <row r="23" spans="1:13" s="1483" customFormat="1">
      <c r="A23" s="3797"/>
      <c r="B23" s="3800"/>
      <c r="C23" s="3440" t="s">
        <v>2961</v>
      </c>
      <c r="D23" s="3441"/>
      <c r="E23" s="3442">
        <v>0.9</v>
      </c>
      <c r="F23" s="3439" t="s">
        <v>2962</v>
      </c>
      <c r="G23" s="1079"/>
      <c r="H23" s="1069"/>
      <c r="I23" s="1069"/>
    </row>
    <row r="24" spans="1:13" s="1483" customFormat="1">
      <c r="A24" s="3797"/>
      <c r="B24" s="3800"/>
      <c r="C24" s="3440" t="s">
        <v>2963</v>
      </c>
      <c r="D24" s="3441"/>
      <c r="E24" s="3442">
        <v>0.8</v>
      </c>
      <c r="F24" s="3439" t="s">
        <v>2964</v>
      </c>
      <c r="G24" s="1079"/>
      <c r="H24" s="1069"/>
      <c r="I24" s="1069"/>
    </row>
    <row r="25" spans="1:13" s="1483" customFormat="1" ht="14.25" thickBot="1">
      <c r="A25" s="3798"/>
      <c r="B25" s="3801"/>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802" t="s">
        <v>2949</v>
      </c>
      <c r="B27" s="3799" t="s">
        <v>2949</v>
      </c>
      <c r="C27" s="3436" t="s">
        <v>2969</v>
      </c>
      <c r="D27" s="3437"/>
      <c r="E27" s="3438">
        <v>1</v>
      </c>
      <c r="F27" s="3439" t="s">
        <v>2970</v>
      </c>
      <c r="G27" s="1079"/>
      <c r="H27" s="1069"/>
      <c r="I27" s="1069"/>
    </row>
    <row r="28" spans="1:13" s="1483" customFormat="1">
      <c r="A28" s="3803"/>
      <c r="B28" s="3800"/>
      <c r="C28" s="3440" t="s">
        <v>2971</v>
      </c>
      <c r="D28" s="3441"/>
      <c r="E28" s="3442">
        <v>1</v>
      </c>
      <c r="F28" s="3439" t="s">
        <v>2972</v>
      </c>
      <c r="G28" s="1079"/>
      <c r="H28" s="1069"/>
      <c r="I28" s="1069"/>
    </row>
    <row r="29" spans="1:13" s="1483" customFormat="1">
      <c r="A29" s="3803"/>
      <c r="B29" s="3800"/>
      <c r="C29" s="3440" t="s">
        <v>2973</v>
      </c>
      <c r="D29" s="3441"/>
      <c r="E29" s="3442">
        <v>0.8</v>
      </c>
      <c r="F29" s="3439" t="s">
        <v>2974</v>
      </c>
      <c r="G29" s="1079"/>
      <c r="H29" s="1069"/>
      <c r="I29" s="1069"/>
    </row>
    <row r="30" spans="1:13" s="1483" customFormat="1">
      <c r="A30" s="3803"/>
      <c r="B30" s="3800"/>
      <c r="C30" s="3440" t="s">
        <v>2975</v>
      </c>
      <c r="D30" s="3441"/>
      <c r="E30" s="3442">
        <v>0.8</v>
      </c>
      <c r="F30" s="3439" t="s">
        <v>2976</v>
      </c>
      <c r="G30" s="1079"/>
      <c r="H30" s="1069"/>
      <c r="I30" s="1069"/>
    </row>
    <row r="31" spans="1:13" s="1483" customFormat="1">
      <c r="A31" s="3803"/>
      <c r="B31" s="3800"/>
      <c r="C31" s="3440" t="s">
        <v>2977</v>
      </c>
      <c r="D31" s="3441"/>
      <c r="E31" s="3442">
        <v>0.8</v>
      </c>
      <c r="F31" s="3439" t="s">
        <v>2978</v>
      </c>
      <c r="G31" s="1079"/>
      <c r="H31" s="1069"/>
      <c r="I31" s="1069"/>
    </row>
    <row r="32" spans="1:13" s="1483" customFormat="1">
      <c r="A32" s="3803"/>
      <c r="B32" s="3800"/>
      <c r="C32" s="3440" t="s">
        <v>2979</v>
      </c>
      <c r="D32" s="3441"/>
      <c r="E32" s="3442">
        <v>0.7</v>
      </c>
      <c r="F32" s="3439" t="s">
        <v>2980</v>
      </c>
      <c r="G32" s="1079"/>
      <c r="H32" s="1069"/>
      <c r="I32" s="1069"/>
    </row>
    <row r="33" spans="1:9" s="1483" customFormat="1">
      <c r="A33" s="3803"/>
      <c r="B33" s="3800"/>
      <c r="C33" s="3440" t="s">
        <v>2981</v>
      </c>
      <c r="D33" s="3441"/>
      <c r="E33" s="3442">
        <v>0.8</v>
      </c>
      <c r="F33" s="3439" t="s">
        <v>2982</v>
      </c>
      <c r="G33" s="1079"/>
      <c r="H33" s="1069"/>
      <c r="I33" s="1069"/>
    </row>
    <row r="34" spans="1:9" s="1483" customFormat="1">
      <c r="A34" s="3803"/>
      <c r="B34" s="3800"/>
      <c r="C34" s="3440" t="s">
        <v>2983</v>
      </c>
      <c r="D34" s="3441"/>
      <c r="E34" s="3442">
        <v>0.6</v>
      </c>
      <c r="F34" s="3439" t="s">
        <v>2984</v>
      </c>
      <c r="G34" s="1079"/>
      <c r="H34" s="1069"/>
      <c r="I34" s="1069"/>
    </row>
    <row r="35" spans="1:9" s="1483" customFormat="1">
      <c r="A35" s="3803"/>
      <c r="B35" s="3800"/>
      <c r="C35" s="3440" t="s">
        <v>2985</v>
      </c>
      <c r="D35" s="3441"/>
      <c r="E35" s="3442">
        <v>0.2</v>
      </c>
      <c r="F35" s="3439" t="s">
        <v>2986</v>
      </c>
      <c r="G35" s="1079"/>
      <c r="H35" s="1069"/>
      <c r="I35" s="1069"/>
    </row>
    <row r="36" spans="1:9" s="1483" customFormat="1">
      <c r="A36" s="3803"/>
      <c r="B36" s="3800"/>
      <c r="C36" s="3440" t="s">
        <v>2987</v>
      </c>
      <c r="D36" s="3441"/>
      <c r="E36" s="3442">
        <v>0.2</v>
      </c>
      <c r="F36" s="3439" t="s">
        <v>2988</v>
      </c>
      <c r="G36" s="1079"/>
      <c r="H36" s="1069"/>
      <c r="I36" s="1069"/>
    </row>
    <row r="37" spans="1:9" s="1483" customFormat="1">
      <c r="A37" s="3803"/>
      <c r="B37" s="3805" t="s">
        <v>2989</v>
      </c>
      <c r="C37" s="3440" t="s">
        <v>2990</v>
      </c>
      <c r="D37" s="3441"/>
      <c r="E37" s="3442">
        <v>0.6</v>
      </c>
      <c r="F37" s="3439" t="s">
        <v>2991</v>
      </c>
      <c r="G37" s="1079"/>
      <c r="H37" s="1069"/>
      <c r="I37" s="1069"/>
    </row>
    <row r="38" spans="1:9" s="1483" customFormat="1">
      <c r="A38" s="3803"/>
      <c r="B38" s="3800"/>
      <c r="C38" s="3440" t="s">
        <v>2992</v>
      </c>
      <c r="D38" s="3441"/>
      <c r="E38" s="3442">
        <v>0.6</v>
      </c>
      <c r="F38" s="3439" t="s">
        <v>2993</v>
      </c>
      <c r="G38" s="1079"/>
      <c r="H38" s="1069"/>
      <c r="I38" s="1069"/>
    </row>
    <row r="39" spans="1:9" s="1483" customFormat="1" ht="14.25" thickBot="1">
      <c r="A39" s="3804"/>
      <c r="B39" s="3801"/>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6" t="s">
        <v>2947</v>
      </c>
      <c r="B41" s="3799" t="s">
        <v>2998</v>
      </c>
      <c r="C41" s="3436" t="s">
        <v>2999</v>
      </c>
      <c r="D41" s="3437"/>
      <c r="E41" s="3438">
        <v>1</v>
      </c>
      <c r="F41" s="3439" t="s">
        <v>3000</v>
      </c>
      <c r="G41" s="1079"/>
      <c r="H41" s="1069"/>
      <c r="I41" s="1069"/>
    </row>
    <row r="42" spans="1:9" s="1483" customFormat="1">
      <c r="A42" s="3797"/>
      <c r="B42" s="3800"/>
      <c r="C42" s="3440" t="s">
        <v>3001</v>
      </c>
      <c r="D42" s="3441"/>
      <c r="E42" s="3442">
        <v>1</v>
      </c>
      <c r="F42" s="3439" t="s">
        <v>3002</v>
      </c>
      <c r="G42" s="1079"/>
      <c r="H42" s="1069"/>
      <c r="I42" s="1069"/>
    </row>
    <row r="43" spans="1:9" s="1483" customFormat="1">
      <c r="A43" s="3797"/>
      <c r="B43" s="3806"/>
      <c r="C43" s="3440" t="s">
        <v>3003</v>
      </c>
      <c r="D43" s="3441"/>
      <c r="E43" s="3442">
        <v>1.5</v>
      </c>
      <c r="F43" s="3439" t="s">
        <v>3004</v>
      </c>
      <c r="G43" s="1079"/>
      <c r="H43" s="1069"/>
      <c r="I43" s="1069"/>
    </row>
    <row r="44" spans="1:9" s="1483" customFormat="1">
      <c r="A44" s="3797"/>
      <c r="B44" s="3451" t="s">
        <v>2949</v>
      </c>
      <c r="C44" s="3440" t="s">
        <v>2948</v>
      </c>
      <c r="D44" s="3441"/>
      <c r="E44" s="3442">
        <v>2</v>
      </c>
      <c r="F44" s="3439" t="s">
        <v>3005</v>
      </c>
      <c r="G44" s="1079"/>
      <c r="H44" s="1069"/>
      <c r="I44" s="1069"/>
    </row>
    <row r="45" spans="1:9" s="1483" customFormat="1">
      <c r="A45" s="3797"/>
      <c r="B45" s="3805" t="s">
        <v>3006</v>
      </c>
      <c r="C45" s="3440" t="s">
        <v>3007</v>
      </c>
      <c r="D45" s="3441"/>
      <c r="E45" s="3442">
        <v>1</v>
      </c>
      <c r="F45" s="3439" t="s">
        <v>3008</v>
      </c>
      <c r="G45" s="1079"/>
      <c r="H45" s="1069"/>
      <c r="I45" s="1069"/>
    </row>
    <row r="46" spans="1:9" s="1483" customFormat="1">
      <c r="A46" s="3797"/>
      <c r="B46" s="3800"/>
      <c r="C46" s="3440" t="s">
        <v>3009</v>
      </c>
      <c r="D46" s="3441"/>
      <c r="E46" s="3442">
        <v>1</v>
      </c>
      <c r="F46" s="3439" t="s">
        <v>3010</v>
      </c>
      <c r="G46" s="1079"/>
      <c r="H46" s="1069"/>
      <c r="I46" s="1069"/>
    </row>
    <row r="47" spans="1:9" s="1483" customFormat="1">
      <c r="A47" s="3797"/>
      <c r="B47" s="3800"/>
      <c r="C47" s="3440" t="s">
        <v>3011</v>
      </c>
      <c r="D47" s="3441"/>
      <c r="E47" s="3442">
        <v>1</v>
      </c>
      <c r="F47" s="3439" t="s">
        <v>3012</v>
      </c>
      <c r="G47" s="1079"/>
      <c r="H47" s="1069"/>
      <c r="I47" s="1069"/>
    </row>
    <row r="48" spans="1:9" s="1483" customFormat="1">
      <c r="A48" s="3797"/>
      <c r="B48" s="3800"/>
      <c r="C48" s="3440" t="s">
        <v>3013</v>
      </c>
      <c r="D48" s="3441"/>
      <c r="E48" s="3442">
        <v>1</v>
      </c>
      <c r="F48" s="3439" t="s">
        <v>3014</v>
      </c>
      <c r="G48" s="1079"/>
      <c r="H48" s="1069"/>
      <c r="I48" s="1069"/>
    </row>
    <row r="49" spans="1:9" s="1483" customFormat="1">
      <c r="A49" s="3797"/>
      <c r="B49" s="3800"/>
      <c r="C49" s="3440" t="s">
        <v>3015</v>
      </c>
      <c r="D49" s="3441"/>
      <c r="E49" s="3442">
        <v>1</v>
      </c>
      <c r="F49" s="3439" t="s">
        <v>3016</v>
      </c>
      <c r="G49" s="1079"/>
      <c r="H49" s="1069"/>
      <c r="I49" s="1069"/>
    </row>
    <row r="50" spans="1:9" s="1483" customFormat="1">
      <c r="A50" s="3797"/>
      <c r="B50" s="3800"/>
      <c r="C50" s="3440" t="s">
        <v>3017</v>
      </c>
      <c r="D50" s="3441"/>
      <c r="E50" s="3442">
        <v>1</v>
      </c>
      <c r="F50" s="3439" t="s">
        <v>3018</v>
      </c>
      <c r="G50" s="1079"/>
      <c r="H50" s="1069"/>
      <c r="I50" s="1069"/>
    </row>
    <row r="51" spans="1:9" s="1483" customFormat="1" ht="14.25" thickBot="1">
      <c r="A51" s="3798"/>
      <c r="B51" s="3801"/>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805" t="s">
        <v>3022</v>
      </c>
      <c r="C73" s="3429" t="s">
        <v>3023</v>
      </c>
      <c r="D73" s="3429" t="s">
        <v>3024</v>
      </c>
      <c r="E73" s="3452">
        <v>0.2</v>
      </c>
      <c r="F73" s="3451">
        <v>25</v>
      </c>
      <c r="H73" s="1069">
        <f>SUMIF(C71:C139,基准地价!C8,E71:E139)</f>
        <v>0</v>
      </c>
    </row>
    <row r="74" spans="1:8" s="1069" customFormat="1" ht="24">
      <c r="A74" s="3451">
        <v>2</v>
      </c>
      <c r="B74" s="3800"/>
      <c r="C74" s="3429" t="s">
        <v>3025</v>
      </c>
      <c r="D74" s="3429" t="s">
        <v>3026</v>
      </c>
      <c r="E74" s="3452">
        <v>0.2</v>
      </c>
      <c r="F74" s="3451">
        <v>25</v>
      </c>
    </row>
    <row r="75" spans="1:8" s="1069" customFormat="1" ht="24">
      <c r="A75" s="3451">
        <v>3</v>
      </c>
      <c r="B75" s="3800"/>
      <c r="C75" s="3429" t="s">
        <v>3027</v>
      </c>
      <c r="D75" s="3429" t="s">
        <v>3028</v>
      </c>
      <c r="E75" s="3452">
        <v>0.2</v>
      </c>
      <c r="F75" s="3451">
        <v>25</v>
      </c>
    </row>
    <row r="76" spans="1:8" s="1069" customFormat="1">
      <c r="A76" s="3451">
        <v>4</v>
      </c>
      <c r="B76" s="3800"/>
      <c r="C76" s="3429" t="s">
        <v>3029</v>
      </c>
      <c r="D76" s="3429" t="s">
        <v>3030</v>
      </c>
      <c r="E76" s="3452">
        <v>0.15</v>
      </c>
      <c r="F76" s="3451">
        <v>20</v>
      </c>
    </row>
    <row r="77" spans="1:8" s="1069" customFormat="1" ht="24">
      <c r="A77" s="3451">
        <v>5</v>
      </c>
      <c r="B77" s="3800"/>
      <c r="C77" s="3429" t="s">
        <v>3031</v>
      </c>
      <c r="D77" s="3429" t="s">
        <v>3032</v>
      </c>
      <c r="E77" s="3452">
        <v>0.15</v>
      </c>
      <c r="F77" s="3451">
        <v>20</v>
      </c>
    </row>
    <row r="78" spans="1:8" s="1069" customFormat="1" ht="24">
      <c r="A78" s="3451">
        <v>6</v>
      </c>
      <c r="B78" s="3800"/>
      <c r="C78" s="3429" t="s">
        <v>3033</v>
      </c>
      <c r="D78" s="3429" t="s">
        <v>3034</v>
      </c>
      <c r="E78" s="3452">
        <v>0.15</v>
      </c>
      <c r="F78" s="3451">
        <v>20</v>
      </c>
    </row>
    <row r="79" spans="1:8" s="1069" customFormat="1" ht="24">
      <c r="A79" s="3451">
        <v>7</v>
      </c>
      <c r="B79" s="3800"/>
      <c r="C79" s="3429" t="s">
        <v>3035</v>
      </c>
      <c r="D79" s="3429" t="s">
        <v>3036</v>
      </c>
      <c r="E79" s="3452">
        <v>0.15</v>
      </c>
      <c r="F79" s="3451">
        <v>20</v>
      </c>
    </row>
    <row r="80" spans="1:8" s="1069" customFormat="1" ht="24">
      <c r="A80" s="3451">
        <v>8</v>
      </c>
      <c r="B80" s="3800"/>
      <c r="C80" s="3429" t="s">
        <v>3037</v>
      </c>
      <c r="D80" s="3429" t="s">
        <v>3038</v>
      </c>
      <c r="E80" s="3452">
        <v>0.1</v>
      </c>
      <c r="F80" s="3451">
        <v>15</v>
      </c>
    </row>
    <row r="81" spans="1:6" s="1069" customFormat="1" ht="24">
      <c r="A81" s="3451">
        <v>9</v>
      </c>
      <c r="B81" s="3800"/>
      <c r="C81" s="3429" t="s">
        <v>3039</v>
      </c>
      <c r="D81" s="3429" t="s">
        <v>3040</v>
      </c>
      <c r="E81" s="3452">
        <v>0.1</v>
      </c>
      <c r="F81" s="3451">
        <v>15</v>
      </c>
    </row>
    <row r="82" spans="1:6" s="1069" customFormat="1" ht="24">
      <c r="A82" s="3451">
        <v>10</v>
      </c>
      <c r="B82" s="3800"/>
      <c r="C82" s="3429" t="s">
        <v>3041</v>
      </c>
      <c r="D82" s="3429" t="s">
        <v>3042</v>
      </c>
      <c r="E82" s="3452">
        <v>0.1</v>
      </c>
      <c r="F82" s="3451">
        <v>15</v>
      </c>
    </row>
    <row r="83" spans="1:6" s="1069" customFormat="1" ht="24">
      <c r="A83" s="3451">
        <v>11</v>
      </c>
      <c r="B83" s="3800"/>
      <c r="C83" s="3429" t="s">
        <v>3043</v>
      </c>
      <c r="D83" s="3429" t="s">
        <v>3044</v>
      </c>
      <c r="E83" s="3452">
        <v>0.1</v>
      </c>
      <c r="F83" s="3451">
        <v>15</v>
      </c>
    </row>
    <row r="84" spans="1:6" s="1069" customFormat="1" ht="24">
      <c r="A84" s="3451">
        <v>12</v>
      </c>
      <c r="B84" s="3800"/>
      <c r="C84" s="3429" t="s">
        <v>3045</v>
      </c>
      <c r="D84" s="3429" t="s">
        <v>3046</v>
      </c>
      <c r="E84" s="3452">
        <v>0.1</v>
      </c>
      <c r="F84" s="3451">
        <v>15</v>
      </c>
    </row>
    <row r="85" spans="1:6" s="1069" customFormat="1">
      <c r="A85" s="3451">
        <v>13</v>
      </c>
      <c r="B85" s="3800"/>
      <c r="C85" s="3429" t="s">
        <v>3047</v>
      </c>
      <c r="D85" s="3429" t="s">
        <v>3048</v>
      </c>
      <c r="E85" s="3452">
        <v>0.1</v>
      </c>
      <c r="F85" s="3451">
        <v>15</v>
      </c>
    </row>
    <row r="86" spans="1:6" s="1069" customFormat="1">
      <c r="A86" s="3451">
        <v>14</v>
      </c>
      <c r="B86" s="3800"/>
      <c r="C86" s="3429" t="s">
        <v>3049</v>
      </c>
      <c r="D86" s="3429" t="s">
        <v>3050</v>
      </c>
      <c r="E86" s="3452">
        <v>0.1</v>
      </c>
      <c r="F86" s="3451">
        <v>15</v>
      </c>
    </row>
    <row r="87" spans="1:6" s="1069" customFormat="1">
      <c r="A87" s="3451">
        <v>15</v>
      </c>
      <c r="B87" s="3800"/>
      <c r="C87" s="3429" t="s">
        <v>3051</v>
      </c>
      <c r="D87" s="3429" t="s">
        <v>3052</v>
      </c>
      <c r="E87" s="3452">
        <v>0.1</v>
      </c>
      <c r="F87" s="3451">
        <v>15</v>
      </c>
    </row>
    <row r="88" spans="1:6" s="1069" customFormat="1" ht="24">
      <c r="A88" s="3451">
        <v>16</v>
      </c>
      <c r="B88" s="3800"/>
      <c r="C88" s="3429" t="s">
        <v>3053</v>
      </c>
      <c r="D88" s="3429" t="s">
        <v>3054</v>
      </c>
      <c r="E88" s="3452">
        <v>0.1</v>
      </c>
      <c r="F88" s="3451">
        <v>15</v>
      </c>
    </row>
    <row r="89" spans="1:6" s="1069" customFormat="1" ht="24">
      <c r="A89" s="3451">
        <v>17</v>
      </c>
      <c r="B89" s="3806"/>
      <c r="C89" s="3429" t="s">
        <v>3055</v>
      </c>
      <c r="D89" s="3429" t="s">
        <v>3056</v>
      </c>
      <c r="E89" s="3452">
        <v>0.1</v>
      </c>
      <c r="F89" s="3451">
        <v>15</v>
      </c>
    </row>
    <row r="90" spans="1:6" s="1069" customFormat="1">
      <c r="A90" s="3451">
        <v>18</v>
      </c>
      <c r="B90" s="3805" t="s">
        <v>3057</v>
      </c>
      <c r="C90" s="3429" t="s">
        <v>3058</v>
      </c>
      <c r="D90" s="3429" t="s">
        <v>3059</v>
      </c>
      <c r="E90" s="3452">
        <v>0.2</v>
      </c>
      <c r="F90" s="3451">
        <v>25</v>
      </c>
    </row>
    <row r="91" spans="1:6" s="1069" customFormat="1" ht="24">
      <c r="A91" s="3451">
        <v>19</v>
      </c>
      <c r="B91" s="3800"/>
      <c r="C91" s="3429" t="s">
        <v>3060</v>
      </c>
      <c r="D91" s="3429" t="s">
        <v>3061</v>
      </c>
      <c r="E91" s="3452">
        <v>0.2</v>
      </c>
      <c r="F91" s="3451">
        <v>25</v>
      </c>
    </row>
    <row r="92" spans="1:6" s="1069" customFormat="1">
      <c r="A92" s="3451">
        <v>20</v>
      </c>
      <c r="B92" s="3800"/>
      <c r="C92" s="3429" t="s">
        <v>3062</v>
      </c>
      <c r="D92" s="3429" t="s">
        <v>3063</v>
      </c>
      <c r="E92" s="3452">
        <v>0.15</v>
      </c>
      <c r="F92" s="3451">
        <v>20</v>
      </c>
    </row>
    <row r="93" spans="1:6" s="1069" customFormat="1" ht="24">
      <c r="A93" s="3451">
        <v>21</v>
      </c>
      <c r="B93" s="3800"/>
      <c r="C93" s="3429" t="s">
        <v>3064</v>
      </c>
      <c r="D93" s="3429" t="s">
        <v>3065</v>
      </c>
      <c r="E93" s="3452">
        <v>0.15</v>
      </c>
      <c r="F93" s="3451">
        <v>20</v>
      </c>
    </row>
    <row r="94" spans="1:6" s="1069" customFormat="1" ht="24">
      <c r="A94" s="3451">
        <v>22</v>
      </c>
      <c r="B94" s="3800"/>
      <c r="C94" s="3429" t="s">
        <v>3066</v>
      </c>
      <c r="D94" s="3429" t="s">
        <v>3067</v>
      </c>
      <c r="E94" s="3452">
        <v>0.15</v>
      </c>
      <c r="F94" s="3451">
        <v>20</v>
      </c>
    </row>
    <row r="95" spans="1:6" s="1069" customFormat="1" ht="36">
      <c r="A95" s="3451">
        <v>23</v>
      </c>
      <c r="B95" s="3800"/>
      <c r="C95" s="3429" t="s">
        <v>3068</v>
      </c>
      <c r="D95" s="3429" t="s">
        <v>3069</v>
      </c>
      <c r="E95" s="3452">
        <v>0.15</v>
      </c>
      <c r="F95" s="3451">
        <v>20</v>
      </c>
    </row>
    <row r="96" spans="1:6" s="1069" customFormat="1">
      <c r="A96" s="3451">
        <v>24</v>
      </c>
      <c r="B96" s="3800"/>
      <c r="C96" s="3429" t="s">
        <v>3070</v>
      </c>
      <c r="D96" s="3429" t="s">
        <v>3071</v>
      </c>
      <c r="E96" s="3452">
        <v>0.1</v>
      </c>
      <c r="F96" s="3451">
        <v>15</v>
      </c>
    </row>
    <row r="97" spans="1:6" s="1069" customFormat="1" ht="24">
      <c r="A97" s="3451">
        <v>25</v>
      </c>
      <c r="B97" s="3800"/>
      <c r="C97" s="3429" t="s">
        <v>3072</v>
      </c>
      <c r="D97" s="3429" t="s">
        <v>3073</v>
      </c>
      <c r="E97" s="3452">
        <v>0.1</v>
      </c>
      <c r="F97" s="3451">
        <v>15</v>
      </c>
    </row>
    <row r="98" spans="1:6" s="1069" customFormat="1" ht="24">
      <c r="A98" s="3451">
        <v>26</v>
      </c>
      <c r="B98" s="3800"/>
      <c r="C98" s="3429" t="s">
        <v>3074</v>
      </c>
      <c r="D98" s="3429" t="s">
        <v>3075</v>
      </c>
      <c r="E98" s="3452">
        <v>0.1</v>
      </c>
      <c r="F98" s="3451">
        <v>15</v>
      </c>
    </row>
    <row r="99" spans="1:6" s="1069" customFormat="1" ht="24">
      <c r="A99" s="3451">
        <v>27</v>
      </c>
      <c r="B99" s="3800"/>
      <c r="C99" s="3429" t="s">
        <v>3076</v>
      </c>
      <c r="D99" s="3429" t="s">
        <v>3077</v>
      </c>
      <c r="E99" s="3452">
        <v>0.1</v>
      </c>
      <c r="F99" s="3451">
        <v>15</v>
      </c>
    </row>
    <row r="100" spans="1:6" s="1069" customFormat="1" ht="24">
      <c r="A100" s="3451">
        <v>28</v>
      </c>
      <c r="B100" s="3800"/>
      <c r="C100" s="3429" t="s">
        <v>3078</v>
      </c>
      <c r="D100" s="3429" t="s">
        <v>3079</v>
      </c>
      <c r="E100" s="3452">
        <v>0.1</v>
      </c>
      <c r="F100" s="3451">
        <v>15</v>
      </c>
    </row>
    <row r="101" spans="1:6" s="1069" customFormat="1" ht="24">
      <c r="A101" s="3451">
        <v>29</v>
      </c>
      <c r="B101" s="3800"/>
      <c r="C101" s="3429" t="s">
        <v>3080</v>
      </c>
      <c r="D101" s="3429" t="s">
        <v>3081</v>
      </c>
      <c r="E101" s="3452">
        <v>0.1</v>
      </c>
      <c r="F101" s="3451">
        <v>15</v>
      </c>
    </row>
    <row r="102" spans="1:6" s="1069" customFormat="1" ht="24">
      <c r="A102" s="3451">
        <v>30</v>
      </c>
      <c r="B102" s="3800"/>
      <c r="C102" s="3429" t="s">
        <v>3082</v>
      </c>
      <c r="D102" s="3429" t="s">
        <v>3083</v>
      </c>
      <c r="E102" s="3452">
        <v>0.1</v>
      </c>
      <c r="F102" s="3451">
        <v>15</v>
      </c>
    </row>
    <row r="103" spans="1:6" s="1069" customFormat="1" ht="24">
      <c r="A103" s="3451">
        <v>31</v>
      </c>
      <c r="B103" s="3800"/>
      <c r="C103" s="3429" t="s">
        <v>3084</v>
      </c>
      <c r="D103" s="3429" t="s">
        <v>3085</v>
      </c>
      <c r="E103" s="3452">
        <v>0.1</v>
      </c>
      <c r="F103" s="3451">
        <v>15</v>
      </c>
    </row>
    <row r="104" spans="1:6" s="1069" customFormat="1" ht="24">
      <c r="A104" s="3451">
        <v>32</v>
      </c>
      <c r="B104" s="3800"/>
      <c r="C104" s="3429" t="s">
        <v>3086</v>
      </c>
      <c r="D104" s="3429" t="s">
        <v>3087</v>
      </c>
      <c r="E104" s="3452">
        <v>0.1</v>
      </c>
      <c r="F104" s="3451">
        <v>15</v>
      </c>
    </row>
    <row r="105" spans="1:6" s="1069" customFormat="1" ht="24">
      <c r="A105" s="3451">
        <v>33</v>
      </c>
      <c r="B105" s="3800"/>
      <c r="C105" s="3429" t="s">
        <v>3088</v>
      </c>
      <c r="D105" s="3429" t="s">
        <v>3089</v>
      </c>
      <c r="E105" s="3452">
        <v>0.1</v>
      </c>
      <c r="F105" s="3451">
        <v>15</v>
      </c>
    </row>
    <row r="106" spans="1:6" s="1069" customFormat="1" ht="24">
      <c r="A106" s="3451">
        <v>34</v>
      </c>
      <c r="B106" s="3806"/>
      <c r="C106" s="3429" t="s">
        <v>3090</v>
      </c>
      <c r="D106" s="3429" t="s">
        <v>3091</v>
      </c>
      <c r="E106" s="3452">
        <v>0.1</v>
      </c>
      <c r="F106" s="3451">
        <v>15</v>
      </c>
    </row>
    <row r="107" spans="1:6" s="1069" customFormat="1" ht="24">
      <c r="A107" s="3451">
        <v>35</v>
      </c>
      <c r="B107" s="3805" t="s">
        <v>3092</v>
      </c>
      <c r="C107" s="3451" t="s">
        <v>3093</v>
      </c>
      <c r="D107" s="3429" t="s">
        <v>3094</v>
      </c>
      <c r="E107" s="3452">
        <v>0.15</v>
      </c>
      <c r="F107" s="3451">
        <v>20</v>
      </c>
    </row>
    <row r="108" spans="1:6" s="1069" customFormat="1" ht="24">
      <c r="A108" s="3451">
        <v>36</v>
      </c>
      <c r="B108" s="3800"/>
      <c r="C108" s="3451" t="s">
        <v>3095</v>
      </c>
      <c r="D108" s="3429" t="s">
        <v>3096</v>
      </c>
      <c r="E108" s="3452">
        <v>0.15</v>
      </c>
      <c r="F108" s="3451">
        <v>20</v>
      </c>
    </row>
    <row r="109" spans="1:6" s="1069" customFormat="1" ht="24">
      <c r="A109" s="3451">
        <v>37</v>
      </c>
      <c r="B109" s="3800"/>
      <c r="C109" s="3451" t="s">
        <v>3097</v>
      </c>
      <c r="D109" s="3429" t="s">
        <v>3098</v>
      </c>
      <c r="E109" s="3452">
        <v>0.15</v>
      </c>
      <c r="F109" s="3451">
        <v>20</v>
      </c>
    </row>
    <row r="110" spans="1:6" s="1069" customFormat="1">
      <c r="A110" s="3451">
        <v>38</v>
      </c>
      <c r="B110" s="3800"/>
      <c r="C110" s="3451" t="s">
        <v>3099</v>
      </c>
      <c r="D110" s="3429" t="s">
        <v>3100</v>
      </c>
      <c r="E110" s="3452">
        <v>0.1</v>
      </c>
      <c r="F110" s="3451">
        <v>15</v>
      </c>
    </row>
    <row r="111" spans="1:6" s="1069" customFormat="1" ht="24">
      <c r="A111" s="3451">
        <v>39</v>
      </c>
      <c r="B111" s="3800"/>
      <c r="C111" s="3451" t="s">
        <v>3101</v>
      </c>
      <c r="D111" s="3429" t="s">
        <v>3102</v>
      </c>
      <c r="E111" s="3452">
        <v>0.1</v>
      </c>
      <c r="F111" s="3451">
        <v>15</v>
      </c>
    </row>
    <row r="112" spans="1:6" s="1069" customFormat="1" ht="24">
      <c r="A112" s="3451">
        <v>40</v>
      </c>
      <c r="B112" s="3806"/>
      <c r="C112" s="3451" t="s">
        <v>3103</v>
      </c>
      <c r="D112" s="3429" t="s">
        <v>3104</v>
      </c>
      <c r="E112" s="3452">
        <v>0.1</v>
      </c>
      <c r="F112" s="3451">
        <v>15</v>
      </c>
    </row>
    <row r="113" spans="1:6" s="1069" customFormat="1" ht="24">
      <c r="A113" s="3451">
        <v>41</v>
      </c>
      <c r="B113" s="3807" t="s">
        <v>3105</v>
      </c>
      <c r="C113" s="3451" t="s">
        <v>3106</v>
      </c>
      <c r="D113" s="3429" t="s">
        <v>3107</v>
      </c>
      <c r="E113" s="3452">
        <v>0.1</v>
      </c>
      <c r="F113" s="3451">
        <v>15</v>
      </c>
    </row>
    <row r="114" spans="1:6" s="1069" customFormat="1">
      <c r="A114" s="3451">
        <v>42</v>
      </c>
      <c r="B114" s="3807"/>
      <c r="C114" s="3451" t="s">
        <v>3108</v>
      </c>
      <c r="D114" s="3429" t="s">
        <v>3109</v>
      </c>
      <c r="E114" s="3452">
        <v>0.1</v>
      </c>
      <c r="F114" s="3451">
        <v>15</v>
      </c>
    </row>
    <row r="115" spans="1:6" s="1069" customFormat="1" ht="24">
      <c r="A115" s="3451">
        <v>43</v>
      </c>
      <c r="B115" s="3807"/>
      <c r="C115" s="3451" t="s">
        <v>3110</v>
      </c>
      <c r="D115" s="3429" t="s">
        <v>3111</v>
      </c>
      <c r="E115" s="3452">
        <v>0.1</v>
      </c>
      <c r="F115" s="3451">
        <v>15</v>
      </c>
    </row>
    <row r="116" spans="1:6" s="1069" customFormat="1" ht="24">
      <c r="A116" s="3451">
        <v>44</v>
      </c>
      <c r="B116" s="3805" t="s">
        <v>3112</v>
      </c>
      <c r="C116" s="3451" t="s">
        <v>3113</v>
      </c>
      <c r="D116" s="3429" t="s">
        <v>3114</v>
      </c>
      <c r="E116" s="3452">
        <v>0.1</v>
      </c>
      <c r="F116" s="3451">
        <v>15</v>
      </c>
    </row>
    <row r="117" spans="1:6" s="1069" customFormat="1" ht="24">
      <c r="A117" s="3451">
        <v>45</v>
      </c>
      <c r="B117" s="3806"/>
      <c r="C117" s="3429" t="s">
        <v>3115</v>
      </c>
      <c r="D117" s="3429" t="s">
        <v>3116</v>
      </c>
      <c r="E117" s="3452">
        <v>0.1</v>
      </c>
      <c r="F117" s="3451">
        <v>15</v>
      </c>
    </row>
    <row r="118" spans="1:6" s="1069" customFormat="1" ht="24">
      <c r="A118" s="3451">
        <v>46</v>
      </c>
      <c r="B118" s="3805" t="s">
        <v>3117</v>
      </c>
      <c r="C118" s="3451" t="s">
        <v>3118</v>
      </c>
      <c r="D118" s="3429" t="s">
        <v>3119</v>
      </c>
      <c r="E118" s="3452">
        <v>0.1</v>
      </c>
      <c r="F118" s="3451">
        <v>15</v>
      </c>
    </row>
    <row r="119" spans="1:6" s="1069" customFormat="1" ht="24">
      <c r="A119" s="3451">
        <v>47</v>
      </c>
      <c r="B119" s="3806"/>
      <c r="C119" s="3451" t="s">
        <v>3120</v>
      </c>
      <c r="D119" s="3429" t="s">
        <v>3121</v>
      </c>
      <c r="E119" s="3452">
        <v>0.1</v>
      </c>
      <c r="F119" s="3451">
        <v>15</v>
      </c>
    </row>
    <row r="120" spans="1:6" s="1069" customFormat="1" ht="24">
      <c r="A120" s="3451">
        <v>48</v>
      </c>
      <c r="B120" s="3805" t="s">
        <v>3122</v>
      </c>
      <c r="C120" s="3451" t="s">
        <v>3123</v>
      </c>
      <c r="D120" s="3429" t="s">
        <v>3124</v>
      </c>
      <c r="E120" s="3452">
        <v>0.1</v>
      </c>
      <c r="F120" s="3451">
        <v>15</v>
      </c>
    </row>
    <row r="121" spans="1:6" s="1069" customFormat="1">
      <c r="A121" s="3451">
        <v>49</v>
      </c>
      <c r="B121" s="3806"/>
      <c r="C121" s="3451" t="s">
        <v>3125</v>
      </c>
      <c r="D121" s="3429" t="s">
        <v>3126</v>
      </c>
      <c r="E121" s="3452">
        <v>0.1</v>
      </c>
      <c r="F121" s="3451">
        <v>15</v>
      </c>
    </row>
    <row r="122" spans="1:6" s="1069" customFormat="1" ht="24">
      <c r="A122" s="3451">
        <v>50</v>
      </c>
      <c r="B122" s="3807" t="s">
        <v>3127</v>
      </c>
      <c r="C122" s="3451" t="s">
        <v>3128</v>
      </c>
      <c r="D122" s="3429" t="s">
        <v>3129</v>
      </c>
      <c r="E122" s="3452">
        <v>0.1</v>
      </c>
      <c r="F122" s="3451">
        <v>15</v>
      </c>
    </row>
    <row r="123" spans="1:6" s="1069" customFormat="1" ht="24">
      <c r="A123" s="3451">
        <v>51</v>
      </c>
      <c r="B123" s="3807"/>
      <c r="C123" s="3451" t="s">
        <v>3130</v>
      </c>
      <c r="D123" s="3429" t="s">
        <v>3131</v>
      </c>
      <c r="E123" s="3452">
        <v>0.1</v>
      </c>
      <c r="F123" s="3451">
        <v>15</v>
      </c>
    </row>
    <row r="124" spans="1:6" s="1069" customFormat="1" ht="24">
      <c r="A124" s="3451">
        <v>52</v>
      </c>
      <c r="B124" s="3807" t="s">
        <v>3132</v>
      </c>
      <c r="C124" s="3451" t="s">
        <v>3133</v>
      </c>
      <c r="D124" s="3429" t="s">
        <v>3134</v>
      </c>
      <c r="E124" s="3452">
        <v>0.1</v>
      </c>
      <c r="F124" s="3451">
        <v>15</v>
      </c>
    </row>
    <row r="125" spans="1:6" s="1069" customFormat="1" ht="24">
      <c r="A125" s="3451">
        <v>53</v>
      </c>
      <c r="B125" s="3807"/>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807" t="s">
        <v>3140</v>
      </c>
      <c r="C127" s="3451" t="s">
        <v>3141</v>
      </c>
      <c r="D127" s="3429" t="s">
        <v>3142</v>
      </c>
      <c r="E127" s="3452">
        <v>0.1</v>
      </c>
      <c r="F127" s="3451">
        <v>15</v>
      </c>
    </row>
    <row r="128" spans="1:6" s="1069" customFormat="1">
      <c r="A128" s="3451">
        <v>56</v>
      </c>
      <c r="B128" s="3807"/>
      <c r="C128" s="3451" t="s">
        <v>3143</v>
      </c>
      <c r="D128" s="3429" t="s">
        <v>3144</v>
      </c>
      <c r="E128" s="3452">
        <v>0.1</v>
      </c>
      <c r="F128" s="3451">
        <v>15</v>
      </c>
    </row>
    <row r="129" spans="1:14" s="1069" customFormat="1" ht="24">
      <c r="A129" s="3451">
        <v>57</v>
      </c>
      <c r="B129" s="3807"/>
      <c r="C129" s="3451" t="s">
        <v>3145</v>
      </c>
      <c r="D129" s="3429" t="s">
        <v>3146</v>
      </c>
      <c r="E129" s="3452">
        <v>0.1</v>
      </c>
      <c r="F129" s="3451">
        <v>15</v>
      </c>
    </row>
    <row r="130" spans="1:14" s="1069" customFormat="1" ht="24">
      <c r="A130" s="3451">
        <v>58</v>
      </c>
      <c r="B130" s="3807" t="s">
        <v>3147</v>
      </c>
      <c r="C130" s="3451" t="s">
        <v>3148</v>
      </c>
      <c r="D130" s="3429" t="s">
        <v>3149</v>
      </c>
      <c r="E130" s="3452">
        <v>0.1</v>
      </c>
      <c r="F130" s="3451">
        <v>15</v>
      </c>
    </row>
    <row r="131" spans="1:14" s="1069" customFormat="1" ht="24">
      <c r="A131" s="3451">
        <v>59</v>
      </c>
      <c r="B131" s="3807"/>
      <c r="C131" s="3451" t="s">
        <v>3150</v>
      </c>
      <c r="D131" s="3429" t="s">
        <v>3151</v>
      </c>
      <c r="E131" s="3452">
        <v>0.1</v>
      </c>
      <c r="F131" s="3451">
        <v>15</v>
      </c>
    </row>
    <row r="132" spans="1:14" s="1069" customFormat="1" ht="24">
      <c r="A132" s="3451">
        <v>60</v>
      </c>
      <c r="B132" s="3805" t="s">
        <v>3152</v>
      </c>
      <c r="C132" s="3451" t="s">
        <v>3153</v>
      </c>
      <c r="D132" s="3429" t="s">
        <v>3154</v>
      </c>
      <c r="E132" s="3452">
        <v>0.1</v>
      </c>
      <c r="F132" s="3451">
        <v>15</v>
      </c>
    </row>
    <row r="133" spans="1:14" s="1069" customFormat="1" ht="24">
      <c r="A133" s="3451">
        <v>61</v>
      </c>
      <c r="B133" s="3806"/>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807" t="s">
        <v>3160</v>
      </c>
      <c r="C135" s="3451" t="s">
        <v>3161</v>
      </c>
      <c r="D135" s="3429" t="s">
        <v>3162</v>
      </c>
      <c r="E135" s="3452">
        <v>0.1</v>
      </c>
      <c r="F135" s="3451">
        <v>15</v>
      </c>
    </row>
    <row r="136" spans="1:14">
      <c r="A136" s="3451">
        <v>64</v>
      </c>
      <c r="B136" s="3807"/>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81" t="s">
        <v>1428</v>
      </c>
      <c r="B141" s="3781"/>
      <c r="C141" s="3781"/>
      <c r="D141" s="3781"/>
      <c r="E141" s="3781"/>
      <c r="F141" s="3781"/>
      <c r="G141" s="3781"/>
      <c r="H141" s="3781"/>
      <c r="I141" s="3781"/>
      <c r="J141" s="3781"/>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8" t="s">
        <v>1012</v>
      </c>
      <c r="B1" s="3808"/>
      <c r="C1" s="3808"/>
      <c r="D1" s="3808"/>
      <c r="E1" s="3808"/>
      <c r="F1" s="3808"/>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9" t="s">
        <v>1025</v>
      </c>
      <c r="B2" s="3809"/>
      <c r="C2" s="3809"/>
      <c r="D2" s="3809"/>
      <c r="E2" s="3809"/>
      <c r="F2" s="3809"/>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10"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11"/>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12" t="s">
        <v>1862</v>
      </c>
      <c r="B1" s="3812"/>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5" t="s">
        <v>2345</v>
      </c>
      <c r="C1" s="3815"/>
      <c r="D1" s="3815"/>
      <c r="E1" s="3815"/>
      <c r="F1" s="3815"/>
      <c r="G1" s="3814" t="s">
        <v>2346</v>
      </c>
      <c r="H1" s="3814"/>
      <c r="I1" s="3814"/>
      <c r="J1" s="3814"/>
      <c r="K1" s="3814"/>
      <c r="L1" s="3814"/>
      <c r="N1" s="3814" t="s">
        <v>2347</v>
      </c>
      <c r="O1" s="3814"/>
      <c r="P1" s="3814"/>
      <c r="Q1" s="3814"/>
      <c r="S1" s="3814" t="s">
        <v>2348</v>
      </c>
      <c r="T1" s="3814"/>
      <c r="U1" s="3814"/>
      <c r="V1" s="3814"/>
      <c r="X1" s="3813" t="s">
        <v>2408</v>
      </c>
      <c r="Y1" s="3814"/>
      <c r="Z1" s="3814"/>
      <c r="AA1" s="3814"/>
      <c r="AB1" s="3814"/>
      <c r="AD1" s="3813" t="s">
        <v>2412</v>
      </c>
      <c r="AE1" s="3814"/>
      <c r="AF1" s="3814"/>
      <c r="AG1" s="3814"/>
      <c r="AH1" s="3814"/>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7">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7"/>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7"/>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23"/>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22">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7"/>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7"/>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23"/>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22">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7"/>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7"/>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8"/>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6">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7"/>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7"/>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8"/>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6">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7"/>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7"/>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8"/>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9">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20"/>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20"/>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21"/>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6">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7"/>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7"/>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8"/>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6">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7">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7">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8">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6">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7">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7">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8">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6">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7">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7">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8">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6">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7">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7">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8">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6">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7">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7">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8">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6">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7">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7">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8">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6">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7">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7">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8">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6">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7">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7">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8">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6">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7">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7">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8">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6">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7">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7">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8">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根据《国有土地使用证》[]，估价对象（分摊）出让国有建设用地使用权面积为48722.92平方米。根据《建设工程规划许可证》[]、《出让合同》[]，估价对象规划建筑面积为93501.88平方米。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-2.5</v>
      </c>
      <c r="G1" s="745">
        <f>MATCH(C1,'数据-取费表'!A6:A16,0)+5</f>
        <v>11</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0</v>
      </c>
      <c r="D7" s="2296" t="s">
        <v>2231</v>
      </c>
      <c r="E7" s="2290"/>
      <c r="F7" s="2291"/>
      <c r="G7" s="1480"/>
      <c r="H7" s="752">
        <v>1</v>
      </c>
      <c r="I7" s="753" t="s">
        <v>2228</v>
      </c>
      <c r="J7" s="53">
        <f ca="1">J8+J12+J14</f>
        <v>0</v>
      </c>
      <c r="K7" s="2296" t="s">
        <v>2231</v>
      </c>
      <c r="L7" s="2290"/>
      <c r="M7" s="2291"/>
    </row>
    <row r="8" spans="1:25" ht="18" customHeight="1">
      <c r="A8" s="1696" t="s">
        <v>1617</v>
      </c>
      <c r="B8" s="3825" t="s">
        <v>2233</v>
      </c>
      <c r="C8" s="1691">
        <f ca="1">ROUND(F8*F10*F9*(1-F11)/10000,0)</f>
        <v>0</v>
      </c>
      <c r="D8" s="1688" t="s">
        <v>2304</v>
      </c>
      <c r="E8" s="61" t="s">
        <v>613</v>
      </c>
      <c r="F8" s="756">
        <f ca="1">INDIRECT("'数据-取费表'!u"&amp;$G$1)</f>
        <v>0</v>
      </c>
      <c r="G8" s="1480"/>
      <c r="H8" s="2304" t="s">
        <v>1617</v>
      </c>
      <c r="I8" s="3825" t="s">
        <v>2233</v>
      </c>
      <c r="J8" s="754">
        <f ca="1">ROUND(M8*M10*M9*(1-M11)/10000,0)</f>
        <v>0</v>
      </c>
      <c r="K8" s="338" t="s">
        <v>2304</v>
      </c>
      <c r="L8" s="755" t="s">
        <v>1531</v>
      </c>
      <c r="M8" s="756">
        <f ca="1">INDIRECT("'数据-取费表'!z"&amp;$G$1)</f>
        <v>0</v>
      </c>
    </row>
    <row r="9" spans="1:25" ht="18" customHeight="1">
      <c r="A9" s="2300"/>
      <c r="B9" s="3826"/>
      <c r="C9" s="1692"/>
      <c r="D9" s="1689"/>
      <c r="E9" s="61" t="s">
        <v>614</v>
      </c>
      <c r="F9" s="756">
        <f ca="1">IF(INDIRECT("'数据-取费表'!ah"&amp;$G$1)="",INDIRECT("'数据-取费表'!k"&amp;$G$1),INDIRECT("'数据-取费表'!ah"&amp;$G$1))</f>
        <v>0</v>
      </c>
      <c r="G9" s="1480"/>
      <c r="H9" s="2289"/>
      <c r="I9" s="3826"/>
      <c r="J9" s="759"/>
      <c r="K9" s="760"/>
      <c r="L9" s="755" t="s">
        <v>1532</v>
      </c>
      <c r="M9" s="756">
        <f ca="1">F9</f>
        <v>0</v>
      </c>
    </row>
    <row r="10" spans="1:25" ht="18" customHeight="1">
      <c r="A10" s="2293"/>
      <c r="B10" s="3827"/>
      <c r="C10" s="1692"/>
      <c r="D10" s="1689"/>
      <c r="E10" s="61" t="s">
        <v>615</v>
      </c>
      <c r="F10" s="756">
        <f ca="1">INDIRECT("'数据-取费表'!ai"&amp;$G$1)</f>
        <v>0</v>
      </c>
      <c r="G10" s="1480"/>
      <c r="H10" s="2289"/>
      <c r="I10" s="3827"/>
      <c r="J10" s="759"/>
      <c r="K10" s="760"/>
      <c r="L10" s="755" t="s">
        <v>1533</v>
      </c>
      <c r="M10" s="756">
        <f ca="1">INDIRECT("'数据-取费表'!ai"&amp;$G$1)</f>
        <v>0</v>
      </c>
    </row>
    <row r="11" spans="1:25" ht="18" customHeight="1">
      <c r="A11" s="757"/>
      <c r="B11" s="3828"/>
      <c r="C11" s="1692"/>
      <c r="D11" s="1689"/>
      <c r="E11" s="61" t="s">
        <v>616</v>
      </c>
      <c r="F11" s="765">
        <f ca="1">INDIRECT("'数据-取费表'!w"&amp;$G$1)</f>
        <v>0</v>
      </c>
      <c r="G11" s="1480"/>
      <c r="H11" s="2305"/>
      <c r="I11" s="3827"/>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0</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2.5</v>
      </c>
      <c r="G25" s="1481"/>
      <c r="H25" s="774" t="s">
        <v>1665</v>
      </c>
      <c r="I25" s="755" t="s">
        <v>655</v>
      </c>
      <c r="J25" s="53">
        <f ca="1">ROUND(J15*M25,0)</f>
        <v>0</v>
      </c>
      <c r="K25" s="1841" t="s">
        <v>656</v>
      </c>
      <c r="L25" s="755" t="s">
        <v>625</v>
      </c>
      <c r="M25" s="788">
        <f ca="1">INDIRECT("'数据-取费表'!Al"&amp;$G$1)</f>
        <v>0</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8.9999999999999998E-4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v>
      </c>
      <c r="G28" s="1480"/>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f ca="1">ROUND(J28/(1+F45)^F46,0)</f>
        <v>0</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0</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0</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0</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4"/>
      <c r="J36" s="1912"/>
      <c r="K36" s="1913"/>
      <c r="L36" s="1912"/>
      <c r="M36" s="1912"/>
    </row>
    <row r="37" spans="1:18" ht="18" customHeight="1">
      <c r="A37" s="785"/>
      <c r="B37" s="764"/>
      <c r="C37" s="69"/>
      <c r="D37" s="786"/>
      <c r="E37" s="755" t="s">
        <v>650</v>
      </c>
      <c r="F37" s="756">
        <f ca="1">INDIRECT("'数据-取费表'!r"&amp;$G$1)</f>
        <v>0</v>
      </c>
      <c r="G37" s="1895"/>
      <c r="H37" s="1898"/>
      <c r="I37" s="3824"/>
      <c r="J37" s="1910"/>
      <c r="K37" s="1911"/>
      <c r="L37" s="1910"/>
      <c r="M37" s="1910"/>
    </row>
    <row r="38" spans="1:18" ht="18" customHeight="1">
      <c r="A38" s="774" t="s">
        <v>1664</v>
      </c>
      <c r="B38" s="755" t="s">
        <v>652</v>
      </c>
      <c r="C38" s="53">
        <f ca="1">ROUND(C31*F38,1)</f>
        <v>0</v>
      </c>
      <c r="D38" s="1841" t="s">
        <v>667</v>
      </c>
      <c r="E38" s="755" t="s">
        <v>625</v>
      </c>
      <c r="F38" s="787">
        <f ca="1">INDIRECT("'数据-取费表'!Ak"&amp;$G$1)</f>
        <v>0</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0</v>
      </c>
      <c r="G39" s="1895"/>
      <c r="H39" s="1910"/>
      <c r="I39" s="2954"/>
      <c r="J39" s="1850"/>
      <c r="K39" s="1914"/>
      <c r="L39" s="1910"/>
      <c r="M39" s="1910"/>
    </row>
    <row r="40" spans="1:18" ht="18" customHeight="1" thickBot="1">
      <c r="A40" s="2360" t="s">
        <v>1666</v>
      </c>
      <c r="B40" s="2346" t="s">
        <v>642</v>
      </c>
      <c r="C40" s="2344">
        <f ca="1">ROUND(C7*F40,1)</f>
        <v>0</v>
      </c>
      <c r="D40" s="2345" t="s">
        <v>659</v>
      </c>
      <c r="E40" s="2346" t="s">
        <v>625</v>
      </c>
      <c r="F40" s="2342">
        <f ca="1">INDIRECT("'数据-取费表'!Am"&amp;$G$1)</f>
        <v>0</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0</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0</v>
      </c>
      <c r="G43" s="1895"/>
      <c r="H43" s="1895"/>
      <c r="I43" s="1895"/>
      <c r="J43" s="1895"/>
      <c r="K43" s="1915"/>
      <c r="L43" s="1895"/>
      <c r="M43" s="1895"/>
    </row>
    <row r="44" spans="1:18" ht="18" customHeight="1">
      <c r="A44" s="774" t="s">
        <v>1665</v>
      </c>
      <c r="B44" s="805" t="s">
        <v>689</v>
      </c>
      <c r="C44" s="1264">
        <f ca="1">C42-C43</f>
        <v>0</v>
      </c>
      <c r="D44" s="455" t="s">
        <v>690</v>
      </c>
      <c r="E44" s="456"/>
      <c r="F44" s="457"/>
      <c r="G44" s="1895"/>
      <c r="H44" s="1895"/>
      <c r="I44" s="1895"/>
      <c r="J44" s="1895"/>
      <c r="K44" s="1915"/>
      <c r="L44" s="1895"/>
      <c r="M44" s="1895"/>
    </row>
    <row r="45" spans="1:18" ht="18" customHeight="1">
      <c r="A45" s="774" t="s">
        <v>1666</v>
      </c>
      <c r="B45" s="1263" t="s">
        <v>691</v>
      </c>
      <c r="C45" s="2693">
        <f ca="1">ROUND(-PV(F45,F46,C44,0),0)</f>
        <v>0</v>
      </c>
      <c r="D45" s="1265" t="s">
        <v>692</v>
      </c>
      <c r="E45" s="777" t="s">
        <v>693</v>
      </c>
      <c r="F45" s="800">
        <f ca="1">INDIRECT("'数据-取费表'!h"&amp;$G$1)</f>
        <v>0</v>
      </c>
      <c r="G45" s="1895"/>
      <c r="H45" s="1895"/>
      <c r="I45" s="1895"/>
      <c r="J45" s="1895"/>
      <c r="K45" s="1915"/>
      <c r="L45" s="1895"/>
      <c r="M45" s="1895"/>
    </row>
    <row r="46" spans="1:18" ht="18" customHeight="1" thickBot="1">
      <c r="A46" s="801"/>
      <c r="B46" s="1266"/>
      <c r="C46" s="1267"/>
      <c r="D46" s="1268"/>
      <c r="E46" s="2739" t="s">
        <v>2716</v>
      </c>
      <c r="F46" s="798">
        <f ca="1">IF(INDIRECT("'数据-取费表'!af"&amp;$G$1)=0,INDIRECT("'数据-取费表'!ae"&amp;$G$1),INDIRECT("'数据-取费表'!af"&amp;$G$1))</f>
        <v>0</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f ca="1">C41+J31</f>
        <v>0</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f ca="1">C45</f>
        <v>0</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-2.5</v>
      </c>
      <c r="K54" s="3829"/>
      <c r="L54" s="3830"/>
      <c r="O54" s="2205" t="s">
        <v>2166</v>
      </c>
      <c r="P54" s="2203" t="s">
        <v>2167</v>
      </c>
      <c r="Q54" s="2204">
        <f ca="1">J54</f>
        <v>-2.5</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f ca="1">Q49+Q50</f>
        <v>0</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f ca="1">IF(L49&lt;J52,"——",IF(L56="比较法",L50,IF(L56="基准地价",L51,L52)))</f>
        <v>0</v>
      </c>
      <c r="O58" s="2202" t="s">
        <v>2157</v>
      </c>
      <c r="P58" s="2203" t="s">
        <v>2183</v>
      </c>
      <c r="Q58" s="2204">
        <f ca="1">C41+J31</f>
        <v>0</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#DIV/0!</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#DIV/0!</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#DIV/0!</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f ca="1">C41+J31</f>
        <v>0</v>
      </c>
      <c r="R67" s="2203" t="s">
        <v>2158</v>
      </c>
    </row>
    <row r="68" spans="1:18" s="1892" customFormat="1" ht="20.25" thickBot="1">
      <c r="A68" s="1928"/>
      <c r="B68" s="1929"/>
      <c r="C68" s="1929"/>
      <c r="K68" s="1918"/>
      <c r="O68" s="2202" t="s">
        <v>2159</v>
      </c>
      <c r="P68" s="2203" t="s">
        <v>2190</v>
      </c>
      <c r="Q68" s="2204" t="e">
        <f ca="1">L61</f>
        <v>#DIV/0!</v>
      </c>
      <c r="R68" s="2207" t="s">
        <v>2192</v>
      </c>
    </row>
    <row r="69" spans="1:18" s="1892" customFormat="1" ht="21.75" thickBot="1">
      <c r="A69" s="1928"/>
      <c r="B69" s="1929"/>
      <c r="C69" s="1929"/>
      <c r="K69" s="1918"/>
      <c r="O69" s="2205" t="s">
        <v>2161</v>
      </c>
      <c r="P69" s="2203" t="s">
        <v>2191</v>
      </c>
      <c r="Q69" s="2209">
        <f ca="1">L52</f>
        <v>0</v>
      </c>
      <c r="R69" s="2210" t="s">
        <v>2194</v>
      </c>
    </row>
    <row r="70" spans="1:18" s="1892" customFormat="1" ht="20.25" thickBot="1">
      <c r="A70" s="1928"/>
      <c r="B70" s="1929"/>
      <c r="C70" s="1929"/>
      <c r="K70" s="1918"/>
      <c r="O70" s="2205" t="s">
        <v>2162</v>
      </c>
      <c r="P70" s="2211" t="s">
        <v>2176</v>
      </c>
      <c r="Q70" s="2204">
        <f ca="1">ROUND(Q71-Q72*Q73,0)</f>
        <v>0</v>
      </c>
      <c r="R70" s="2207"/>
    </row>
    <row r="71" spans="1:18" s="1892" customFormat="1" ht="15.75" thickBot="1">
      <c r="A71" s="1928"/>
      <c r="B71" s="1929"/>
      <c r="C71" s="1929"/>
      <c r="K71" s="1918"/>
      <c r="O71" s="2205" t="s">
        <v>2177</v>
      </c>
      <c r="P71" s="2211" t="s">
        <v>2178</v>
      </c>
      <c r="Q71" s="2204">
        <f ca="1">C42</f>
        <v>0</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0</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#DIV/0!</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Normal="60" zoomScaleSheetLayoutView="100" workbookViewId="0">
      <selection activeCell="M45" sqref="M4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54534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3" t="s">
        <v>499</v>
      </c>
      <c r="D4" s="3744"/>
      <c r="E4" s="3769" t="s">
        <v>500</v>
      </c>
      <c r="F4" s="3770"/>
      <c r="G4" s="3743" t="s">
        <v>501</v>
      </c>
      <c r="H4" s="3744"/>
      <c r="I4" s="3743" t="s">
        <v>502</v>
      </c>
      <c r="J4" s="3744"/>
      <c r="K4" s="823"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24" t="s">
        <v>501</v>
      </c>
      <c r="AC4" s="3724" t="s">
        <v>502</v>
      </c>
    </row>
    <row r="5" spans="1:29" ht="15">
      <c r="A5" s="490"/>
      <c r="B5" s="491"/>
      <c r="C5" s="3754" t="s">
        <v>2683</v>
      </c>
      <c r="D5" s="3755"/>
      <c r="E5" s="3831" t="s">
        <v>3715</v>
      </c>
      <c r="F5" s="3772"/>
      <c r="G5" s="3832" t="s">
        <v>3748</v>
      </c>
      <c r="H5" s="3755"/>
      <c r="I5" s="3832" t="s">
        <v>3749</v>
      </c>
      <c r="J5" s="3755"/>
      <c r="K5" s="824"/>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824"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7" t="s">
        <v>507</v>
      </c>
      <c r="Q7" s="3736"/>
      <c r="R7" s="1456" t="s">
        <v>13</v>
      </c>
      <c r="S7" s="1457">
        <f t="shared" ref="S7:S15" si="0">F7</f>
        <v>100</v>
      </c>
      <c r="T7" s="1456" t="s">
        <v>13</v>
      </c>
      <c r="U7" s="1457">
        <f t="shared" ref="U7:U15" si="1">H7</f>
        <v>100</v>
      </c>
      <c r="V7" s="1456" t="s">
        <v>13</v>
      </c>
      <c r="W7" s="1457">
        <f t="shared" ref="W7:W15" si="2">J7</f>
        <v>100</v>
      </c>
      <c r="X7" s="1458"/>
      <c r="Y7" s="3727" t="s">
        <v>507</v>
      </c>
      <c r="Z7" s="3728"/>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7" t="s">
        <v>510</v>
      </c>
      <c r="Q8" s="3728"/>
      <c r="R8" s="1456" t="s">
        <v>13</v>
      </c>
      <c r="S8" s="1457">
        <f t="shared" si="0"/>
        <v>100</v>
      </c>
      <c r="T8" s="1456" t="s">
        <v>13</v>
      </c>
      <c r="U8" s="1457">
        <f t="shared" si="1"/>
        <v>100</v>
      </c>
      <c r="V8" s="1456" t="s">
        <v>13</v>
      </c>
      <c r="W8" s="1457">
        <f t="shared" si="2"/>
        <v>100</v>
      </c>
      <c r="X8" s="1458"/>
      <c r="Y8" s="3727" t="s">
        <v>510</v>
      </c>
      <c r="Z8" s="3728"/>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35"/>
      <c r="Q11" s="1096" t="str">
        <f t="shared" si="6"/>
        <v>容积率</v>
      </c>
      <c r="R11" s="1456" t="s">
        <v>11</v>
      </c>
      <c r="S11" s="1457">
        <f t="shared" si="0"/>
        <v>98</v>
      </c>
      <c r="T11" s="1456" t="s">
        <v>11</v>
      </c>
      <c r="U11" s="1457">
        <f t="shared" si="1"/>
        <v>96</v>
      </c>
      <c r="V11" s="1456" t="s">
        <v>11</v>
      </c>
      <c r="W11" s="1457">
        <f t="shared" si="2"/>
        <v>98</v>
      </c>
      <c r="X11" s="1458"/>
      <c r="Y11" s="3687"/>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5"/>
      <c r="Q12" s="1096">
        <f t="shared" si="6"/>
        <v>111</v>
      </c>
      <c r="R12" s="1456" t="s">
        <v>11</v>
      </c>
      <c r="S12" s="1457">
        <f t="shared" si="0"/>
        <v>100</v>
      </c>
      <c r="T12" s="1456" t="s">
        <v>11</v>
      </c>
      <c r="U12" s="1457">
        <f t="shared" si="1"/>
        <v>100</v>
      </c>
      <c r="V12" s="1456" t="s">
        <v>11</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5"/>
      <c r="Q13" s="1096">
        <f t="shared" si="6"/>
        <v>111</v>
      </c>
      <c r="R13" s="1456" t="s">
        <v>11</v>
      </c>
      <c r="S13" s="1457">
        <f t="shared" si="0"/>
        <v>100</v>
      </c>
      <c r="T13" s="1456" t="s">
        <v>11</v>
      </c>
      <c r="U13" s="1457">
        <f t="shared" si="1"/>
        <v>100</v>
      </c>
      <c r="V13" s="1456" t="s">
        <v>11</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5"/>
      <c r="Q14" s="1096">
        <f t="shared" si="6"/>
        <v>111</v>
      </c>
      <c r="R14" s="1456" t="s">
        <v>11</v>
      </c>
      <c r="S14" s="1457">
        <f t="shared" si="0"/>
        <v>100</v>
      </c>
      <c r="T14" s="1456" t="s">
        <v>11</v>
      </c>
      <c r="U14" s="1457">
        <f t="shared" si="1"/>
        <v>100</v>
      </c>
      <c r="V14" s="1456" t="s">
        <v>11</v>
      </c>
      <c r="W14" s="1457">
        <f t="shared" si="2"/>
        <v>100</v>
      </c>
      <c r="X14" s="1458"/>
      <c r="Y14" s="3687"/>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7" t="s">
        <v>517</v>
      </c>
      <c r="Q15" s="1460" t="str">
        <f t="shared" si="6"/>
        <v>居住社区成熟度</v>
      </c>
      <c r="R15" s="1461" t="s">
        <v>11</v>
      </c>
      <c r="S15" s="1462">
        <f t="shared" si="0"/>
        <v>100</v>
      </c>
      <c r="T15" s="1461" t="s">
        <v>11</v>
      </c>
      <c r="U15" s="1462">
        <f t="shared" si="1"/>
        <v>100</v>
      </c>
      <c r="V15" s="1461" t="s">
        <v>11</v>
      </c>
      <c r="W15" s="1462">
        <f t="shared" si="2"/>
        <v>100</v>
      </c>
      <c r="X15" s="1455"/>
      <c r="Y15" s="3737"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8"/>
      <c r="Q17" s="1460" t="str">
        <f>B17</f>
        <v>交通便捷度</v>
      </c>
      <c r="R17" s="1461" t="s">
        <v>11</v>
      </c>
      <c r="S17" s="1462">
        <f>F17</f>
        <v>100</v>
      </c>
      <c r="T17" s="1461" t="s">
        <v>11</v>
      </c>
      <c r="U17" s="1462">
        <f>H17</f>
        <v>100</v>
      </c>
      <c r="V17" s="1461" t="s">
        <v>11</v>
      </c>
      <c r="W17" s="1462">
        <f>J17</f>
        <v>100</v>
      </c>
      <c r="X17" s="1455"/>
      <c r="Y17" s="3738"/>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8"/>
      <c r="Q19" s="1460" t="str">
        <f>B19</f>
        <v>公共配套设施</v>
      </c>
      <c r="R19" s="1461" t="s">
        <v>11</v>
      </c>
      <c r="S19" s="1462">
        <f>F19</f>
        <v>100</v>
      </c>
      <c r="T19" s="1461" t="s">
        <v>11</v>
      </c>
      <c r="U19" s="1462">
        <f>H19</f>
        <v>100</v>
      </c>
      <c r="V19" s="1461" t="s">
        <v>11</v>
      </c>
      <c r="W19" s="1462">
        <f>J19</f>
        <v>100</v>
      </c>
      <c r="X19" s="1455"/>
      <c r="Y19" s="3738"/>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8"/>
      <c r="Q21" s="2375" t="str">
        <f>B21</f>
        <v>基础设施水平</v>
      </c>
      <c r="R21" s="1461" t="s">
        <v>11</v>
      </c>
      <c r="S21" s="1462">
        <f>F21</f>
        <v>100</v>
      </c>
      <c r="T21" s="1461" t="s">
        <v>11</v>
      </c>
      <c r="U21" s="1462">
        <f>H21</f>
        <v>100</v>
      </c>
      <c r="V21" s="1461" t="s">
        <v>11</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8"/>
      <c r="Q22" s="2375"/>
      <c r="R22" s="1461"/>
      <c r="S22" s="1462"/>
      <c r="T22" s="1461"/>
      <c r="U22" s="1462"/>
      <c r="V22" s="1461"/>
      <c r="W22" s="1462"/>
      <c r="X22" s="2377"/>
      <c r="Y22" s="3738"/>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8"/>
      <c r="Q23" s="1460" t="str">
        <f>B23</f>
        <v>自然及人文环境</v>
      </c>
      <c r="R23" s="1461" t="s">
        <v>11</v>
      </c>
      <c r="S23" s="1462">
        <f>F23</f>
        <v>100</v>
      </c>
      <c r="T23" s="1461" t="s">
        <v>11</v>
      </c>
      <c r="U23" s="1462">
        <f>H23</f>
        <v>100</v>
      </c>
      <c r="V23" s="1461" t="s">
        <v>11</v>
      </c>
      <c r="W23" s="1462">
        <f>J23</f>
        <v>100</v>
      </c>
      <c r="X23" s="1455"/>
      <c r="Y23" s="3738"/>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8"/>
      <c r="Q25" s="1460" t="str">
        <f t="shared" ref="Q25:Q46" si="11">B25</f>
        <v>楼层-1</v>
      </c>
      <c r="R25" s="1461" t="s">
        <v>11</v>
      </c>
      <c r="S25" s="1462">
        <f>F25</f>
        <v>100</v>
      </c>
      <c r="T25" s="1461" t="s">
        <v>11</v>
      </c>
      <c r="U25" s="1462">
        <f>H25</f>
        <v>100</v>
      </c>
      <c r="V25" s="1461" t="s">
        <v>11</v>
      </c>
      <c r="W25" s="1462">
        <f>J25</f>
        <v>100</v>
      </c>
      <c r="X25" s="1455"/>
      <c r="Y25" s="3738"/>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8"/>
      <c r="Q26" s="1460" t="str">
        <f t="shared" si="11"/>
        <v>朝向</v>
      </c>
      <c r="R26" s="1461" t="s">
        <v>11</v>
      </c>
      <c r="S26" s="1462">
        <f>F26</f>
        <v>100</v>
      </c>
      <c r="T26" s="1461" t="s">
        <v>11</v>
      </c>
      <c r="U26" s="1462">
        <f>H26</f>
        <v>100</v>
      </c>
      <c r="V26" s="1461" t="s">
        <v>11</v>
      </c>
      <c r="W26" s="1462">
        <f>J26</f>
        <v>100</v>
      </c>
      <c r="X26" s="1455"/>
      <c r="Y26" s="3738"/>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8"/>
      <c r="Q27" s="1096" t="str">
        <f t="shared" si="11"/>
        <v>道路级别</v>
      </c>
      <c r="R27" s="1456" t="s">
        <v>11</v>
      </c>
      <c r="S27" s="1457">
        <f>F27</f>
        <v>100</v>
      </c>
      <c r="T27" s="1456" t="s">
        <v>11</v>
      </c>
      <c r="U27" s="1457">
        <f>H27</f>
        <v>100</v>
      </c>
      <c r="V27" s="1456" t="s">
        <v>11</v>
      </c>
      <c r="W27" s="1457">
        <f>J27</f>
        <v>100</v>
      </c>
      <c r="X27" s="1458"/>
      <c r="Y27" s="3738"/>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8"/>
      <c r="Q28" s="1460">
        <f t="shared" si="11"/>
        <v>111</v>
      </c>
      <c r="R28" s="1461" t="s">
        <v>11</v>
      </c>
      <c r="S28" s="1462">
        <f t="shared" ref="S28:S46" si="12">F28</f>
        <v>100</v>
      </c>
      <c r="T28" s="1461" t="s">
        <v>11</v>
      </c>
      <c r="U28" s="1462">
        <f t="shared" ref="U28:U46" si="13">H28</f>
        <v>100</v>
      </c>
      <c r="V28" s="1461" t="s">
        <v>11</v>
      </c>
      <c r="W28" s="1462">
        <f t="shared" ref="W28:W46" si="14">J28</f>
        <v>100</v>
      </c>
      <c r="X28" s="1455"/>
      <c r="Y28" s="3738"/>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8"/>
      <c r="Q29" s="1460">
        <f t="shared" si="11"/>
        <v>111</v>
      </c>
      <c r="R29" s="1461" t="s">
        <v>11</v>
      </c>
      <c r="S29" s="1462">
        <f t="shared" si="12"/>
        <v>100</v>
      </c>
      <c r="T29" s="1461" t="s">
        <v>11</v>
      </c>
      <c r="U29" s="1462">
        <f t="shared" si="13"/>
        <v>100</v>
      </c>
      <c r="V29" s="1461" t="s">
        <v>11</v>
      </c>
      <c r="W29" s="1462">
        <f t="shared" si="14"/>
        <v>100</v>
      </c>
      <c r="X29" s="1455"/>
      <c r="Y29" s="3738"/>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8"/>
      <c r="Q30" s="1460">
        <f t="shared" si="11"/>
        <v>111</v>
      </c>
      <c r="R30" s="1461" t="s">
        <v>11</v>
      </c>
      <c r="S30" s="1462">
        <f t="shared" si="12"/>
        <v>100</v>
      </c>
      <c r="T30" s="1461" t="s">
        <v>11</v>
      </c>
      <c r="U30" s="1462">
        <f t="shared" si="13"/>
        <v>100</v>
      </c>
      <c r="V30" s="1461" t="s">
        <v>11</v>
      </c>
      <c r="W30" s="1462">
        <f t="shared" si="14"/>
        <v>100</v>
      </c>
      <c r="X30" s="1455"/>
      <c r="Y30" s="3738"/>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8"/>
      <c r="Q31" s="1460">
        <f t="shared" si="11"/>
        <v>111</v>
      </c>
      <c r="R31" s="1461" t="s">
        <v>11</v>
      </c>
      <c r="S31" s="1462">
        <f t="shared" si="12"/>
        <v>100</v>
      </c>
      <c r="T31" s="1461" t="s">
        <v>11</v>
      </c>
      <c r="U31" s="1462">
        <f t="shared" si="13"/>
        <v>100</v>
      </c>
      <c r="V31" s="1461" t="s">
        <v>11</v>
      </c>
      <c r="W31" s="1462">
        <f t="shared" si="14"/>
        <v>100</v>
      </c>
      <c r="X31" s="1455"/>
      <c r="Y31" s="3738"/>
      <c r="Z31" s="1463">
        <f t="shared" si="15"/>
        <v>111</v>
      </c>
      <c r="AA31" s="1464">
        <f t="shared" si="3"/>
        <v>1</v>
      </c>
      <c r="AB31" s="1464">
        <f t="shared" si="4"/>
        <v>1</v>
      </c>
      <c r="AC31" s="1464">
        <f t="shared" si="5"/>
        <v>1</v>
      </c>
    </row>
    <row r="32" spans="1:29" ht="15">
      <c r="A32" s="2570" t="s">
        <v>2524</v>
      </c>
      <c r="B32" s="170" t="s">
        <v>701</v>
      </c>
      <c r="C32" s="848" t="s">
        <v>3743</v>
      </c>
      <c r="D32" s="572">
        <v>100</v>
      </c>
      <c r="E32" s="849" t="s">
        <v>3744</v>
      </c>
      <c r="F32" s="550">
        <f>SUMIF(100:100,E32,101:101)-SUMIF(100:100,C32,101:101)+100</f>
        <v>95</v>
      </c>
      <c r="G32" s="849" t="s">
        <v>3744</v>
      </c>
      <c r="H32" s="572">
        <f>SUMIF(100:100,G32,101:101)-SUMIF(100:100,C32,101:101)+100</f>
        <v>95</v>
      </c>
      <c r="I32" s="849" t="s">
        <v>3744</v>
      </c>
      <c r="J32" s="515">
        <f>SUMIF(100:100,I32,101:101)-SUMIF(100:100,C32,101:101)+100</f>
        <v>95</v>
      </c>
      <c r="K32" s="834">
        <v>5</v>
      </c>
      <c r="L32" s="1973"/>
      <c r="M32" s="1965"/>
      <c r="N32" s="1965"/>
      <c r="O32" s="1972"/>
      <c r="P32" s="3739" t="s">
        <v>527</v>
      </c>
      <c r="Q32" s="1460" t="str">
        <f t="shared" si="11"/>
        <v>建筑类型</v>
      </c>
      <c r="R32" s="1461" t="s">
        <v>11</v>
      </c>
      <c r="S32" s="1462">
        <f t="shared" si="12"/>
        <v>95</v>
      </c>
      <c r="T32" s="1461" t="s">
        <v>11</v>
      </c>
      <c r="U32" s="1462">
        <f t="shared" si="13"/>
        <v>95</v>
      </c>
      <c r="V32" s="1461" t="s">
        <v>11</v>
      </c>
      <c r="W32" s="1462">
        <f t="shared" si="14"/>
        <v>95</v>
      </c>
      <c r="X32" s="1455"/>
      <c r="Y32" s="3740"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40"/>
      <c r="Q33" s="1489" t="str">
        <f t="shared" si="11"/>
        <v>项目建筑规模</v>
      </c>
      <c r="R33" s="1465" t="s">
        <v>11</v>
      </c>
      <c r="S33" s="1466">
        <f t="shared" si="12"/>
        <v>96</v>
      </c>
      <c r="T33" s="1465" t="s">
        <v>11</v>
      </c>
      <c r="U33" s="1466">
        <f t="shared" si="13"/>
        <v>98</v>
      </c>
      <c r="V33" s="1465" t="s">
        <v>11</v>
      </c>
      <c r="W33" s="1466">
        <f t="shared" si="14"/>
        <v>100</v>
      </c>
      <c r="X33" s="1467"/>
      <c r="Y33" s="3740"/>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40"/>
      <c r="Q34" s="1460" t="str">
        <f t="shared" si="11"/>
        <v>建筑结构</v>
      </c>
      <c r="R34" s="1461" t="s">
        <v>11</v>
      </c>
      <c r="S34" s="1462">
        <f t="shared" si="12"/>
        <v>100</v>
      </c>
      <c r="T34" s="1461" t="s">
        <v>11</v>
      </c>
      <c r="U34" s="1462">
        <f t="shared" si="13"/>
        <v>100</v>
      </c>
      <c r="V34" s="1461" t="s">
        <v>11</v>
      </c>
      <c r="W34" s="1462">
        <f t="shared" si="14"/>
        <v>100</v>
      </c>
      <c r="X34" s="1455"/>
      <c r="Y34" s="3740"/>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40"/>
      <c r="Q35" s="1460" t="str">
        <f t="shared" si="11"/>
        <v>建筑品质</v>
      </c>
      <c r="R35" s="1461" t="s">
        <v>11</v>
      </c>
      <c r="S35" s="1462">
        <f t="shared" si="12"/>
        <v>100</v>
      </c>
      <c r="T35" s="1461" t="s">
        <v>11</v>
      </c>
      <c r="U35" s="1462">
        <f t="shared" si="13"/>
        <v>100</v>
      </c>
      <c r="V35" s="1461" t="s">
        <v>11</v>
      </c>
      <c r="W35" s="1462">
        <f t="shared" si="14"/>
        <v>100</v>
      </c>
      <c r="X35" s="1455"/>
      <c r="Y35" s="3740"/>
      <c r="Z35" s="1463" t="str">
        <f t="shared" si="15"/>
        <v>建筑品质</v>
      </c>
      <c r="AA35" s="1464">
        <f t="shared" si="3"/>
        <v>1</v>
      </c>
      <c r="AB35" s="1464">
        <f t="shared" si="4"/>
        <v>1</v>
      </c>
      <c r="AC35" s="1464">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40"/>
      <c r="Q36" s="1460" t="str">
        <f t="shared" si="11"/>
        <v>公共部分装修</v>
      </c>
      <c r="R36" s="1461" t="s">
        <v>11</v>
      </c>
      <c r="S36" s="1462">
        <f t="shared" si="12"/>
        <v>100</v>
      </c>
      <c r="T36" s="1461" t="s">
        <v>11</v>
      </c>
      <c r="U36" s="1462">
        <f t="shared" si="13"/>
        <v>100</v>
      </c>
      <c r="V36" s="1461" t="s">
        <v>11</v>
      </c>
      <c r="W36" s="1462">
        <f t="shared" si="14"/>
        <v>100</v>
      </c>
      <c r="X36" s="1455"/>
      <c r="Y36" s="3740"/>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40"/>
      <c r="Q37" s="1096" t="str">
        <f t="shared" si="11"/>
        <v>成新度</v>
      </c>
      <c r="R37" s="1456" t="s">
        <v>11</v>
      </c>
      <c r="S37" s="1457">
        <f t="shared" si="12"/>
        <v>100</v>
      </c>
      <c r="T37" s="1456" t="s">
        <v>11</v>
      </c>
      <c r="U37" s="1457">
        <f t="shared" si="13"/>
        <v>100</v>
      </c>
      <c r="V37" s="1456" t="s">
        <v>11</v>
      </c>
      <c r="W37" s="1457">
        <f t="shared" si="14"/>
        <v>100</v>
      </c>
      <c r="X37" s="1458"/>
      <c r="Y37" s="3740"/>
      <c r="Z37" s="1095"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40" t="s">
        <v>527</v>
      </c>
      <c r="Q38" s="1460" t="str">
        <f t="shared" si="11"/>
        <v>物业管理</v>
      </c>
      <c r="R38" s="1461" t="s">
        <v>11</v>
      </c>
      <c r="S38" s="1462">
        <f t="shared" si="12"/>
        <v>100</v>
      </c>
      <c r="T38" s="1461" t="s">
        <v>11</v>
      </c>
      <c r="U38" s="1462">
        <f t="shared" si="13"/>
        <v>100</v>
      </c>
      <c r="V38" s="1461" t="s">
        <v>11</v>
      </c>
      <c r="W38" s="1462">
        <f t="shared" si="14"/>
        <v>100</v>
      </c>
      <c r="X38" s="1455"/>
      <c r="Y38" s="3740"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40"/>
      <c r="Q39" s="1460" t="str">
        <f t="shared" si="11"/>
        <v>市政基础设施</v>
      </c>
      <c r="R39" s="1461" t="s">
        <v>11</v>
      </c>
      <c r="S39" s="1462">
        <f t="shared" si="12"/>
        <v>100</v>
      </c>
      <c r="T39" s="1461" t="s">
        <v>11</v>
      </c>
      <c r="U39" s="1462">
        <f t="shared" si="13"/>
        <v>100</v>
      </c>
      <c r="V39" s="1461" t="s">
        <v>11</v>
      </c>
      <c r="W39" s="1462">
        <f t="shared" si="14"/>
        <v>100</v>
      </c>
      <c r="X39" s="1455"/>
      <c r="Y39" s="3740"/>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40"/>
      <c r="Q40" s="1460" t="str">
        <f t="shared" si="11"/>
        <v>房型</v>
      </c>
      <c r="R40" s="1461" t="s">
        <v>11</v>
      </c>
      <c r="S40" s="1462">
        <f t="shared" si="12"/>
        <v>100</v>
      </c>
      <c r="T40" s="1461" t="s">
        <v>11</v>
      </c>
      <c r="U40" s="1462">
        <f t="shared" si="13"/>
        <v>100</v>
      </c>
      <c r="V40" s="1461" t="s">
        <v>11</v>
      </c>
      <c r="W40" s="1462">
        <f t="shared" si="14"/>
        <v>100</v>
      </c>
      <c r="X40" s="1455"/>
      <c r="Y40" s="3740"/>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40"/>
      <c r="Q41" s="1489" t="str">
        <f t="shared" si="11"/>
        <v>单套/主力户型建筑面积</v>
      </c>
      <c r="R41" s="1465" t="s">
        <v>11</v>
      </c>
      <c r="S41" s="1466">
        <f t="shared" si="12"/>
        <v>100</v>
      </c>
      <c r="T41" s="1465" t="s">
        <v>11</v>
      </c>
      <c r="U41" s="1466">
        <f t="shared" si="13"/>
        <v>100</v>
      </c>
      <c r="V41" s="1465" t="s">
        <v>11</v>
      </c>
      <c r="W41" s="1466">
        <f t="shared" si="14"/>
        <v>100</v>
      </c>
      <c r="X41" s="1467"/>
      <c r="Y41" s="3740"/>
      <c r="Z41" s="1468" t="str">
        <f t="shared" si="15"/>
        <v>单套/主力户型建筑面积</v>
      </c>
      <c r="AA41" s="1464">
        <f t="shared" si="3"/>
        <v>1</v>
      </c>
      <c r="AB41" s="1464">
        <f t="shared" si="4"/>
        <v>1</v>
      </c>
      <c r="AC41" s="1464">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40"/>
      <c r="Q42" s="1460" t="str">
        <f t="shared" si="11"/>
        <v>内部装修</v>
      </c>
      <c r="R42" s="1461" t="s">
        <v>11</v>
      </c>
      <c r="S42" s="1462">
        <f t="shared" si="12"/>
        <v>100</v>
      </c>
      <c r="T42" s="1461" t="s">
        <v>11</v>
      </c>
      <c r="U42" s="1462">
        <f t="shared" si="13"/>
        <v>100</v>
      </c>
      <c r="V42" s="1461" t="s">
        <v>11</v>
      </c>
      <c r="W42" s="1462">
        <f t="shared" si="14"/>
        <v>100</v>
      </c>
      <c r="X42" s="1455"/>
      <c r="Y42" s="3740"/>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40"/>
      <c r="Q43" s="1460" t="str">
        <f t="shared" si="11"/>
        <v>内部装修维护情况</v>
      </c>
      <c r="R43" s="1461" t="s">
        <v>11</v>
      </c>
      <c r="S43" s="1462">
        <f t="shared" si="12"/>
        <v>100</v>
      </c>
      <c r="T43" s="1461" t="s">
        <v>11</v>
      </c>
      <c r="U43" s="1462">
        <f t="shared" si="13"/>
        <v>100</v>
      </c>
      <c r="V43" s="1461" t="s">
        <v>11</v>
      </c>
      <c r="W43" s="1462">
        <f t="shared" si="14"/>
        <v>100</v>
      </c>
      <c r="X43" s="1455"/>
      <c r="Y43" s="3740"/>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40"/>
      <c r="Q44" s="1096">
        <f t="shared" si="11"/>
        <v>111</v>
      </c>
      <c r="R44" s="1456" t="s">
        <v>11</v>
      </c>
      <c r="S44" s="1457">
        <f t="shared" si="12"/>
        <v>100</v>
      </c>
      <c r="T44" s="1456" t="s">
        <v>11</v>
      </c>
      <c r="U44" s="1457">
        <f t="shared" si="13"/>
        <v>100</v>
      </c>
      <c r="V44" s="1456" t="s">
        <v>11</v>
      </c>
      <c r="W44" s="1457">
        <f t="shared" si="14"/>
        <v>100</v>
      </c>
      <c r="X44" s="1458"/>
      <c r="Y44" s="3740"/>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40"/>
      <c r="Q45" s="1460">
        <f t="shared" si="11"/>
        <v>111</v>
      </c>
      <c r="R45" s="1461" t="s">
        <v>11</v>
      </c>
      <c r="S45" s="1462">
        <f t="shared" si="12"/>
        <v>100</v>
      </c>
      <c r="T45" s="1461" t="s">
        <v>11</v>
      </c>
      <c r="U45" s="1462">
        <f t="shared" si="13"/>
        <v>100</v>
      </c>
      <c r="V45" s="1461" t="s">
        <v>11</v>
      </c>
      <c r="W45" s="1462">
        <f t="shared" si="14"/>
        <v>100</v>
      </c>
      <c r="X45" s="1455"/>
      <c r="Y45" s="3740"/>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5"/>
      <c r="Q46" s="1460">
        <f t="shared" si="11"/>
        <v>111</v>
      </c>
      <c r="R46" s="1461" t="s">
        <v>10</v>
      </c>
      <c r="S46" s="1462">
        <f t="shared" si="12"/>
        <v>100</v>
      </c>
      <c r="T46" s="1461" t="s">
        <v>10</v>
      </c>
      <c r="U46" s="1462">
        <f t="shared" si="13"/>
        <v>100</v>
      </c>
      <c r="V46" s="1461" t="s">
        <v>10</v>
      </c>
      <c r="W46" s="1462">
        <f t="shared" si="14"/>
        <v>100</v>
      </c>
      <c r="X46" s="1455"/>
      <c r="Y46" s="3835"/>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35" t="str">
        <f>A47</f>
        <v>成交单价（元/平方米）</v>
      </c>
      <c r="Q47" s="3735"/>
      <c r="R47" s="3834">
        <f>E47</f>
        <v>6370</v>
      </c>
      <c r="S47" s="3834"/>
      <c r="T47" s="3834">
        <f>G47</f>
        <v>6272</v>
      </c>
      <c r="U47" s="3834"/>
      <c r="V47" s="3834">
        <f>I47</f>
        <v>6762</v>
      </c>
      <c r="W47" s="3834"/>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35" t="str">
        <f>A48</f>
        <v>比较价格（元/平方米）</v>
      </c>
      <c r="Q48" s="3735"/>
      <c r="R48" s="3834">
        <f>IF(F1="售价",ROUND(PRODUCT(R47,AA7:AA46),0),ROUND(PRODUCT(R47,AA7:AA46),1))</f>
        <v>7127</v>
      </c>
      <c r="S48" s="3834"/>
      <c r="T48" s="3834">
        <f>IF(F1="售价",ROUND(PRODUCT(T47,AB7:AB46),0),ROUND(PRODUCT(T47,AB7:AB46),1))</f>
        <v>7018</v>
      </c>
      <c r="U48" s="3834"/>
      <c r="V48" s="3834">
        <f>IF(F1="售价",ROUND(PRODUCT(V47,AC7:AC46),0),ROUND(PRODUCT(V47,AC7:AC46),1))</f>
        <v>7263</v>
      </c>
      <c r="W48" s="3834"/>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2011"/>
      <c r="M49" s="1975"/>
      <c r="N49" s="1976"/>
      <c r="O49" s="1976"/>
      <c r="P49" s="3741" t="str">
        <f>A49</f>
        <v>估价对象XX用房的比较价格（楼面单价，元/平方米）</v>
      </c>
      <c r="Q49" s="3742"/>
      <c r="R49" s="3833">
        <f>IF(F1="售价",ROUND(IF(D48="简单平均",AVERAGE(R48:V48),R48*F48+T48*H48+V48*J48),0),ROUND(IF(D48="简单平均",AVERAGE(R48:V48),R48*F48+T48*H48+V48*J48),1))</f>
        <v>7136</v>
      </c>
      <c r="S49" s="3833"/>
      <c r="T49" s="3833"/>
      <c r="U49" s="3833"/>
      <c r="V49" s="3833"/>
      <c r="W49" s="3833"/>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t="s">
        <v>3730</v>
      </c>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Normal="60" zoomScaleSheetLayoutView="100" workbookViewId="0">
      <selection activeCell="M47" sqref="M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50056</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6550</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3" t="s">
        <v>499</v>
      </c>
      <c r="D4" s="3744"/>
      <c r="E4" s="3769" t="s">
        <v>500</v>
      </c>
      <c r="F4" s="3770"/>
      <c r="G4" s="3743" t="s">
        <v>501</v>
      </c>
      <c r="H4" s="3744"/>
      <c r="I4" s="3743" t="s">
        <v>502</v>
      </c>
      <c r="J4" s="3744"/>
      <c r="K4" s="823" t="s">
        <v>503</v>
      </c>
      <c r="L4" s="1964"/>
      <c r="M4" s="1965"/>
      <c r="N4" s="1965"/>
      <c r="O4" s="1965"/>
      <c r="P4" s="3745" t="s">
        <v>504</v>
      </c>
      <c r="Q4" s="3746"/>
      <c r="R4" s="3729" t="s">
        <v>500</v>
      </c>
      <c r="S4" s="3730"/>
      <c r="T4" s="3729" t="s">
        <v>501</v>
      </c>
      <c r="U4" s="3730"/>
      <c r="V4" s="3751" t="s">
        <v>502</v>
      </c>
      <c r="W4" s="3751"/>
      <c r="X4" s="3531"/>
      <c r="Y4" s="3729" t="s">
        <v>504</v>
      </c>
      <c r="Z4" s="3730"/>
      <c r="AA4" s="3724" t="s">
        <v>500</v>
      </c>
      <c r="AB4" s="3724" t="s">
        <v>501</v>
      </c>
      <c r="AC4" s="3724" t="s">
        <v>502</v>
      </c>
    </row>
    <row r="5" spans="1:29" ht="15">
      <c r="A5" s="490"/>
      <c r="B5" s="491"/>
      <c r="C5" s="3754" t="s">
        <v>2683</v>
      </c>
      <c r="D5" s="3755"/>
      <c r="E5" s="3831" t="s">
        <v>3715</v>
      </c>
      <c r="F5" s="3772"/>
      <c r="G5" s="3832" t="s">
        <v>3748</v>
      </c>
      <c r="H5" s="3755"/>
      <c r="I5" s="3832" t="s">
        <v>3749</v>
      </c>
      <c r="J5" s="3755"/>
      <c r="K5" s="824"/>
      <c r="L5" s="1964"/>
      <c r="M5" s="1965"/>
      <c r="N5" s="1965"/>
      <c r="O5" s="1965"/>
      <c r="P5" s="3747"/>
      <c r="Q5" s="3748"/>
      <c r="R5" s="3731"/>
      <c r="S5" s="3732"/>
      <c r="T5" s="3731"/>
      <c r="U5" s="3732"/>
      <c r="V5" s="3751"/>
      <c r="W5" s="3751"/>
      <c r="X5" s="3531"/>
      <c r="Y5" s="3731"/>
      <c r="Z5" s="3732"/>
      <c r="AA5" s="3725"/>
      <c r="AB5" s="3725"/>
      <c r="AC5" s="3725"/>
    </row>
    <row r="6" spans="1:29" ht="15.75" thickBot="1">
      <c r="A6" s="492"/>
      <c r="B6" s="493"/>
      <c r="C6" s="3752" t="s">
        <v>2687</v>
      </c>
      <c r="D6" s="3753"/>
      <c r="E6" s="3773" t="s">
        <v>2687</v>
      </c>
      <c r="F6" s="3774"/>
      <c r="G6" s="3752" t="s">
        <v>2687</v>
      </c>
      <c r="H6" s="3753"/>
      <c r="I6" s="3752" t="s">
        <v>2687</v>
      </c>
      <c r="J6" s="3753"/>
      <c r="K6" s="824" t="s">
        <v>505</v>
      </c>
      <c r="L6" s="1964"/>
      <c r="M6" s="1965"/>
      <c r="N6" s="1965"/>
      <c r="O6" s="1965"/>
      <c r="P6" s="3749"/>
      <c r="Q6" s="3750"/>
      <c r="R6" s="3731"/>
      <c r="S6" s="3732"/>
      <c r="T6" s="3733"/>
      <c r="U6" s="3734"/>
      <c r="V6" s="3751"/>
      <c r="W6" s="3751"/>
      <c r="X6" s="3531"/>
      <c r="Y6" s="3733"/>
      <c r="Z6" s="3734"/>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7" t="s">
        <v>507</v>
      </c>
      <c r="Q7" s="3736"/>
      <c r="R7" s="1456" t="s">
        <v>8</v>
      </c>
      <c r="S7" s="1457">
        <f t="shared" ref="S7:S15" si="0">F7</f>
        <v>100</v>
      </c>
      <c r="T7" s="1456" t="s">
        <v>8</v>
      </c>
      <c r="U7" s="1457">
        <f t="shared" ref="U7:U15" si="1">H7</f>
        <v>100</v>
      </c>
      <c r="V7" s="1456" t="s">
        <v>8</v>
      </c>
      <c r="W7" s="1457">
        <f t="shared" ref="W7:W15" si="2">J7</f>
        <v>100</v>
      </c>
      <c r="X7" s="1458"/>
      <c r="Y7" s="3727" t="s">
        <v>507</v>
      </c>
      <c r="Z7" s="3728"/>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7" t="s">
        <v>510</v>
      </c>
      <c r="Q8" s="3728"/>
      <c r="R8" s="1456" t="s">
        <v>8</v>
      </c>
      <c r="S8" s="1457">
        <f t="shared" si="0"/>
        <v>100</v>
      </c>
      <c r="T8" s="1456" t="s">
        <v>8</v>
      </c>
      <c r="U8" s="1457">
        <f t="shared" si="1"/>
        <v>100</v>
      </c>
      <c r="V8" s="1456" t="s">
        <v>8</v>
      </c>
      <c r="W8" s="1457">
        <f t="shared" si="2"/>
        <v>100</v>
      </c>
      <c r="X8" s="1458"/>
      <c r="Y8" s="3727" t="s">
        <v>510</v>
      </c>
      <c r="Z8" s="3728"/>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5" t="s">
        <v>512</v>
      </c>
      <c r="Q9" s="3528" t="str">
        <f t="shared" ref="Q9:Q15" si="6">B9</f>
        <v>用途</v>
      </c>
      <c r="R9" s="1456" t="s">
        <v>8</v>
      </c>
      <c r="S9" s="1457">
        <f t="shared" si="0"/>
        <v>100</v>
      </c>
      <c r="T9" s="1456" t="s">
        <v>8</v>
      </c>
      <c r="U9" s="1457">
        <f t="shared" si="1"/>
        <v>100</v>
      </c>
      <c r="V9" s="1456" t="s">
        <v>8</v>
      </c>
      <c r="W9" s="1457">
        <f t="shared" si="2"/>
        <v>100</v>
      </c>
      <c r="X9" s="1458"/>
      <c r="Y9" s="3687"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5"/>
      <c r="Q10" s="3528" t="str">
        <f t="shared" si="6"/>
        <v>土地使用年限（年）</v>
      </c>
      <c r="R10" s="1456" t="s">
        <v>8</v>
      </c>
      <c r="S10" s="1457">
        <f t="shared" si="0"/>
        <v>100</v>
      </c>
      <c r="T10" s="1456" t="s">
        <v>8</v>
      </c>
      <c r="U10" s="1457">
        <f t="shared" si="1"/>
        <v>100</v>
      </c>
      <c r="V10" s="1456" t="s">
        <v>8</v>
      </c>
      <c r="W10" s="1457">
        <f t="shared" si="2"/>
        <v>100</v>
      </c>
      <c r="X10" s="1458"/>
      <c r="Y10" s="3687"/>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35"/>
      <c r="Q11" s="3528" t="str">
        <f t="shared" si="6"/>
        <v>容积率</v>
      </c>
      <c r="R11" s="1456" t="s">
        <v>8</v>
      </c>
      <c r="S11" s="1457">
        <f t="shared" si="0"/>
        <v>98</v>
      </c>
      <c r="T11" s="1456" t="s">
        <v>8</v>
      </c>
      <c r="U11" s="1457">
        <f t="shared" si="1"/>
        <v>96</v>
      </c>
      <c r="V11" s="1456" t="s">
        <v>8</v>
      </c>
      <c r="W11" s="1457">
        <f t="shared" si="2"/>
        <v>98</v>
      </c>
      <c r="X11" s="1458"/>
      <c r="Y11" s="3687"/>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5"/>
      <c r="Q12" s="3528">
        <f t="shared" si="6"/>
        <v>111</v>
      </c>
      <c r="R12" s="1456" t="s">
        <v>8</v>
      </c>
      <c r="S12" s="1457">
        <f t="shared" si="0"/>
        <v>100</v>
      </c>
      <c r="T12" s="1456" t="s">
        <v>8</v>
      </c>
      <c r="U12" s="1457">
        <f t="shared" si="1"/>
        <v>100</v>
      </c>
      <c r="V12" s="1456" t="s">
        <v>8</v>
      </c>
      <c r="W12" s="1457">
        <f t="shared" si="2"/>
        <v>100</v>
      </c>
      <c r="X12" s="1458"/>
      <c r="Y12" s="3687"/>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5"/>
      <c r="Q13" s="3528">
        <f t="shared" si="6"/>
        <v>111</v>
      </c>
      <c r="R13" s="1456" t="s">
        <v>8</v>
      </c>
      <c r="S13" s="1457">
        <f t="shared" si="0"/>
        <v>100</v>
      </c>
      <c r="T13" s="1456" t="s">
        <v>8</v>
      </c>
      <c r="U13" s="1457">
        <f t="shared" si="1"/>
        <v>100</v>
      </c>
      <c r="V13" s="1456" t="s">
        <v>8</v>
      </c>
      <c r="W13" s="1457">
        <f t="shared" si="2"/>
        <v>100</v>
      </c>
      <c r="X13" s="1458"/>
      <c r="Y13" s="3687"/>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5"/>
      <c r="Q14" s="3528">
        <f t="shared" si="6"/>
        <v>111</v>
      </c>
      <c r="R14" s="1456" t="s">
        <v>8</v>
      </c>
      <c r="S14" s="1457">
        <f t="shared" si="0"/>
        <v>100</v>
      </c>
      <c r="T14" s="1456" t="s">
        <v>8</v>
      </c>
      <c r="U14" s="1457">
        <f t="shared" si="1"/>
        <v>100</v>
      </c>
      <c r="V14" s="1456" t="s">
        <v>8</v>
      </c>
      <c r="W14" s="1457">
        <f t="shared" si="2"/>
        <v>100</v>
      </c>
      <c r="X14" s="1458"/>
      <c r="Y14" s="3687"/>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7" t="s">
        <v>517</v>
      </c>
      <c r="Q15" s="3529" t="str">
        <f t="shared" si="6"/>
        <v>居住社区成熟度</v>
      </c>
      <c r="R15" s="1461" t="s">
        <v>8</v>
      </c>
      <c r="S15" s="1462">
        <f t="shared" si="0"/>
        <v>100</v>
      </c>
      <c r="T15" s="1461" t="s">
        <v>8</v>
      </c>
      <c r="U15" s="1462">
        <f t="shared" si="1"/>
        <v>100</v>
      </c>
      <c r="V15" s="1461" t="s">
        <v>8</v>
      </c>
      <c r="W15" s="1462">
        <f t="shared" si="2"/>
        <v>100</v>
      </c>
      <c r="X15" s="3531"/>
      <c r="Y15" s="3737"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8"/>
      <c r="Q16" s="3529"/>
      <c r="R16" s="1461"/>
      <c r="S16" s="1462"/>
      <c r="T16" s="1461"/>
      <c r="U16" s="1462"/>
      <c r="V16" s="1461"/>
      <c r="W16" s="1462"/>
      <c r="X16" s="3531"/>
      <c r="Y16" s="3738"/>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8"/>
      <c r="Q17" s="3529" t="str">
        <f>B17</f>
        <v>交通便捷度</v>
      </c>
      <c r="R17" s="1461" t="s">
        <v>8</v>
      </c>
      <c r="S17" s="1462">
        <f>F17</f>
        <v>100</v>
      </c>
      <c r="T17" s="1461" t="s">
        <v>8</v>
      </c>
      <c r="U17" s="1462">
        <f>H17</f>
        <v>100</v>
      </c>
      <c r="V17" s="1461" t="s">
        <v>8</v>
      </c>
      <c r="W17" s="1462">
        <f>J17</f>
        <v>100</v>
      </c>
      <c r="X17" s="3531"/>
      <c r="Y17" s="3738"/>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8"/>
      <c r="Q18" s="3529"/>
      <c r="R18" s="1461"/>
      <c r="S18" s="1462"/>
      <c r="T18" s="1461"/>
      <c r="U18" s="1462"/>
      <c r="V18" s="1461"/>
      <c r="W18" s="1462"/>
      <c r="X18" s="3531"/>
      <c r="Y18" s="3738"/>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8"/>
      <c r="Q19" s="3529" t="str">
        <f>B19</f>
        <v>公共配套设施</v>
      </c>
      <c r="R19" s="1461" t="s">
        <v>8</v>
      </c>
      <c r="S19" s="1462">
        <f>F19</f>
        <v>100</v>
      </c>
      <c r="T19" s="1461" t="s">
        <v>8</v>
      </c>
      <c r="U19" s="1462">
        <f>H19</f>
        <v>100</v>
      </c>
      <c r="V19" s="1461" t="s">
        <v>8</v>
      </c>
      <c r="W19" s="1462">
        <f>J19</f>
        <v>100</v>
      </c>
      <c r="X19" s="3531"/>
      <c r="Y19" s="3738"/>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8"/>
      <c r="Q20" s="3529"/>
      <c r="R20" s="1461"/>
      <c r="S20" s="1462"/>
      <c r="T20" s="1461"/>
      <c r="U20" s="1462"/>
      <c r="V20" s="1461"/>
      <c r="W20" s="1462"/>
      <c r="X20" s="3531"/>
      <c r="Y20" s="3738"/>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8"/>
      <c r="Q21" s="3529" t="str">
        <f>B21</f>
        <v>基础设施水平</v>
      </c>
      <c r="R21" s="1461" t="s">
        <v>8</v>
      </c>
      <c r="S21" s="1462">
        <f>F21</f>
        <v>100</v>
      </c>
      <c r="T21" s="1461" t="s">
        <v>8</v>
      </c>
      <c r="U21" s="1462">
        <f>H21</f>
        <v>100</v>
      </c>
      <c r="V21" s="1461" t="s">
        <v>8</v>
      </c>
      <c r="W21" s="1462">
        <f>J21</f>
        <v>100</v>
      </c>
      <c r="X21" s="3531"/>
      <c r="Y21" s="3738"/>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8"/>
      <c r="Q22" s="3529"/>
      <c r="R22" s="1461"/>
      <c r="S22" s="1462"/>
      <c r="T22" s="1461"/>
      <c r="U22" s="1462"/>
      <c r="V22" s="1461"/>
      <c r="W22" s="1462"/>
      <c r="X22" s="3531"/>
      <c r="Y22" s="3738"/>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8"/>
      <c r="Q23" s="3529" t="str">
        <f>B23</f>
        <v>自然及人文环境</v>
      </c>
      <c r="R23" s="1461" t="s">
        <v>8</v>
      </c>
      <c r="S23" s="1462">
        <f>F23</f>
        <v>100</v>
      </c>
      <c r="T23" s="1461" t="s">
        <v>8</v>
      </c>
      <c r="U23" s="1462">
        <f>H23</f>
        <v>100</v>
      </c>
      <c r="V23" s="1461" t="s">
        <v>8</v>
      </c>
      <c r="W23" s="1462">
        <f>J23</f>
        <v>100</v>
      </c>
      <c r="X23" s="3531"/>
      <c r="Y23" s="3738"/>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8"/>
      <c r="Q24" s="3529"/>
      <c r="R24" s="1461"/>
      <c r="S24" s="1462"/>
      <c r="T24" s="1461"/>
      <c r="U24" s="1462"/>
      <c r="V24" s="1461"/>
      <c r="W24" s="1462"/>
      <c r="X24" s="3531"/>
      <c r="Y24" s="3738"/>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8"/>
      <c r="Q25" s="3529" t="str">
        <f t="shared" ref="Q25:Q46" si="11">B25</f>
        <v>楼层-1</v>
      </c>
      <c r="R25" s="1461" t="s">
        <v>8</v>
      </c>
      <c r="S25" s="1462">
        <f>F25</f>
        <v>100</v>
      </c>
      <c r="T25" s="1461" t="s">
        <v>8</v>
      </c>
      <c r="U25" s="1462">
        <f>H25</f>
        <v>100</v>
      </c>
      <c r="V25" s="1461" t="s">
        <v>8</v>
      </c>
      <c r="W25" s="1462">
        <f>J25</f>
        <v>100</v>
      </c>
      <c r="X25" s="3531"/>
      <c r="Y25" s="3738"/>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8"/>
      <c r="Q26" s="3529" t="str">
        <f t="shared" si="11"/>
        <v>朝向</v>
      </c>
      <c r="R26" s="1461" t="s">
        <v>8</v>
      </c>
      <c r="S26" s="1462">
        <f>F26</f>
        <v>100</v>
      </c>
      <c r="T26" s="1461" t="s">
        <v>8</v>
      </c>
      <c r="U26" s="1462">
        <f>H26</f>
        <v>100</v>
      </c>
      <c r="V26" s="1461" t="s">
        <v>8</v>
      </c>
      <c r="W26" s="1462">
        <f>J26</f>
        <v>100</v>
      </c>
      <c r="X26" s="3531"/>
      <c r="Y26" s="3738"/>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8"/>
      <c r="Q27" s="3528" t="str">
        <f t="shared" si="11"/>
        <v>道路级别</v>
      </c>
      <c r="R27" s="1456" t="s">
        <v>8</v>
      </c>
      <c r="S27" s="1457">
        <f>F27</f>
        <v>100</v>
      </c>
      <c r="T27" s="1456" t="s">
        <v>8</v>
      </c>
      <c r="U27" s="1457">
        <f>H27</f>
        <v>100</v>
      </c>
      <c r="V27" s="1456" t="s">
        <v>8</v>
      </c>
      <c r="W27" s="1457">
        <f>J27</f>
        <v>100</v>
      </c>
      <c r="X27" s="1458"/>
      <c r="Y27" s="3738"/>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8"/>
      <c r="Q28" s="3529">
        <f t="shared" si="11"/>
        <v>111</v>
      </c>
      <c r="R28" s="1461" t="s">
        <v>8</v>
      </c>
      <c r="S28" s="1462">
        <f t="shared" ref="S28:S46" si="12">F28</f>
        <v>100</v>
      </c>
      <c r="T28" s="1461" t="s">
        <v>8</v>
      </c>
      <c r="U28" s="1462">
        <f t="shared" ref="U28:U46" si="13">H28</f>
        <v>100</v>
      </c>
      <c r="V28" s="1461" t="s">
        <v>8</v>
      </c>
      <c r="W28" s="1462">
        <f t="shared" ref="W28:W46" si="14">J28</f>
        <v>100</v>
      </c>
      <c r="X28" s="3531"/>
      <c r="Y28" s="3738"/>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8"/>
      <c r="Q29" s="3529">
        <f t="shared" si="11"/>
        <v>111</v>
      </c>
      <c r="R29" s="1461" t="s">
        <v>8</v>
      </c>
      <c r="S29" s="1462">
        <f t="shared" si="12"/>
        <v>100</v>
      </c>
      <c r="T29" s="1461" t="s">
        <v>8</v>
      </c>
      <c r="U29" s="1462">
        <f t="shared" si="13"/>
        <v>100</v>
      </c>
      <c r="V29" s="1461" t="s">
        <v>8</v>
      </c>
      <c r="W29" s="1462">
        <f t="shared" si="14"/>
        <v>100</v>
      </c>
      <c r="X29" s="3531"/>
      <c r="Y29" s="3738"/>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8"/>
      <c r="Q30" s="3529">
        <f t="shared" si="11"/>
        <v>111</v>
      </c>
      <c r="R30" s="1461" t="s">
        <v>8</v>
      </c>
      <c r="S30" s="1462">
        <f t="shared" si="12"/>
        <v>100</v>
      </c>
      <c r="T30" s="1461" t="s">
        <v>8</v>
      </c>
      <c r="U30" s="1462">
        <f t="shared" si="13"/>
        <v>100</v>
      </c>
      <c r="V30" s="1461" t="s">
        <v>8</v>
      </c>
      <c r="W30" s="1462">
        <f t="shared" si="14"/>
        <v>100</v>
      </c>
      <c r="X30" s="3531"/>
      <c r="Y30" s="3738"/>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8"/>
      <c r="Q31" s="3529">
        <f t="shared" si="11"/>
        <v>111</v>
      </c>
      <c r="R31" s="1461" t="s">
        <v>8</v>
      </c>
      <c r="S31" s="1462">
        <f t="shared" si="12"/>
        <v>100</v>
      </c>
      <c r="T31" s="1461" t="s">
        <v>8</v>
      </c>
      <c r="U31" s="1462">
        <f t="shared" si="13"/>
        <v>100</v>
      </c>
      <c r="V31" s="1461" t="s">
        <v>8</v>
      </c>
      <c r="W31" s="1462">
        <f t="shared" si="14"/>
        <v>100</v>
      </c>
      <c r="X31" s="3531"/>
      <c r="Y31" s="3738"/>
      <c r="Z31" s="3530">
        <f t="shared" si="15"/>
        <v>111</v>
      </c>
      <c r="AA31" s="3532">
        <f t="shared" si="3"/>
        <v>1</v>
      </c>
      <c r="AB31" s="3532">
        <f t="shared" si="4"/>
        <v>1</v>
      </c>
      <c r="AC31" s="3532">
        <f t="shared" si="5"/>
        <v>1</v>
      </c>
    </row>
    <row r="32" spans="1:29" ht="15">
      <c r="A32" s="2570" t="s">
        <v>2524</v>
      </c>
      <c r="B32" s="170" t="s">
        <v>701</v>
      </c>
      <c r="C32" s="848" t="s">
        <v>3751</v>
      </c>
      <c r="D32" s="572">
        <v>100</v>
      </c>
      <c r="E32" s="849" t="s">
        <v>3744</v>
      </c>
      <c r="F32" s="550">
        <f>SUMIF(100:100,E32,101:101)-SUMIF(100:100,C32,101:101)+100</f>
        <v>90</v>
      </c>
      <c r="G32" s="849" t="s">
        <v>3744</v>
      </c>
      <c r="H32" s="572">
        <f>SUMIF(100:100,G32,101:101)-SUMIF(100:100,C32,101:101)+100</f>
        <v>90</v>
      </c>
      <c r="I32" s="849" t="s">
        <v>3744</v>
      </c>
      <c r="J32" s="515">
        <f>SUMIF(100:100,I32,101:101)-SUMIF(100:100,C32,101:101)+100</f>
        <v>90</v>
      </c>
      <c r="K32" s="834">
        <v>10</v>
      </c>
      <c r="L32" s="1973"/>
      <c r="M32" s="1965"/>
      <c r="N32" s="1965"/>
      <c r="O32" s="1972"/>
      <c r="P32" s="3739" t="s">
        <v>527</v>
      </c>
      <c r="Q32" s="3529" t="str">
        <f t="shared" si="11"/>
        <v>建筑类型</v>
      </c>
      <c r="R32" s="1461" t="s">
        <v>8</v>
      </c>
      <c r="S32" s="1462">
        <f t="shared" si="12"/>
        <v>90</v>
      </c>
      <c r="T32" s="1461" t="s">
        <v>8</v>
      </c>
      <c r="U32" s="1462">
        <f t="shared" si="13"/>
        <v>90</v>
      </c>
      <c r="V32" s="1461" t="s">
        <v>8</v>
      </c>
      <c r="W32" s="1462">
        <f t="shared" si="14"/>
        <v>90</v>
      </c>
      <c r="X32" s="3531"/>
      <c r="Y32" s="3740" t="s">
        <v>527</v>
      </c>
      <c r="Z32" s="3530" t="str">
        <f t="shared" si="15"/>
        <v>建筑类型</v>
      </c>
      <c r="AA32" s="3532">
        <f t="shared" si="3"/>
        <v>1.1111111111111112</v>
      </c>
      <c r="AB32" s="3532">
        <f t="shared" si="4"/>
        <v>1.1111111111111112</v>
      </c>
      <c r="AC32" s="3532">
        <f t="shared" si="5"/>
        <v>1.1111111111111112</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40"/>
      <c r="Q33" s="1489" t="str">
        <f t="shared" si="11"/>
        <v>项目建筑规模</v>
      </c>
      <c r="R33" s="1465" t="s">
        <v>8</v>
      </c>
      <c r="S33" s="1466">
        <f t="shared" si="12"/>
        <v>96</v>
      </c>
      <c r="T33" s="1465" t="s">
        <v>8</v>
      </c>
      <c r="U33" s="1466">
        <f t="shared" si="13"/>
        <v>98</v>
      </c>
      <c r="V33" s="1465" t="s">
        <v>8</v>
      </c>
      <c r="W33" s="1466">
        <f t="shared" si="14"/>
        <v>100</v>
      </c>
      <c r="X33" s="1467"/>
      <c r="Y33" s="3740"/>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40"/>
      <c r="Q34" s="3529" t="str">
        <f t="shared" si="11"/>
        <v>建筑结构</v>
      </c>
      <c r="R34" s="1461" t="s">
        <v>8</v>
      </c>
      <c r="S34" s="1462">
        <f t="shared" si="12"/>
        <v>100</v>
      </c>
      <c r="T34" s="1461" t="s">
        <v>8</v>
      </c>
      <c r="U34" s="1462">
        <f t="shared" si="13"/>
        <v>100</v>
      </c>
      <c r="V34" s="1461" t="s">
        <v>8</v>
      </c>
      <c r="W34" s="1462">
        <f t="shared" si="14"/>
        <v>100</v>
      </c>
      <c r="X34" s="3531"/>
      <c r="Y34" s="3740"/>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40"/>
      <c r="Q35" s="3529" t="str">
        <f t="shared" si="11"/>
        <v>建筑品质</v>
      </c>
      <c r="R35" s="1461" t="s">
        <v>8</v>
      </c>
      <c r="S35" s="1462">
        <f t="shared" si="12"/>
        <v>100</v>
      </c>
      <c r="T35" s="1461" t="s">
        <v>8</v>
      </c>
      <c r="U35" s="1462">
        <f t="shared" si="13"/>
        <v>100</v>
      </c>
      <c r="V35" s="1461" t="s">
        <v>8</v>
      </c>
      <c r="W35" s="1462">
        <f t="shared" si="14"/>
        <v>100</v>
      </c>
      <c r="X35" s="3531"/>
      <c r="Y35" s="3740"/>
      <c r="Z35" s="3530" t="str">
        <f t="shared" si="15"/>
        <v>建筑品质</v>
      </c>
      <c r="AA35" s="3532">
        <f t="shared" si="3"/>
        <v>1</v>
      </c>
      <c r="AB35" s="3532">
        <f t="shared" si="4"/>
        <v>1</v>
      </c>
      <c r="AC35" s="3532">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40"/>
      <c r="Q36" s="3529" t="str">
        <f t="shared" si="11"/>
        <v>公共部分装修</v>
      </c>
      <c r="R36" s="1461" t="s">
        <v>8</v>
      </c>
      <c r="S36" s="1462">
        <f t="shared" si="12"/>
        <v>100</v>
      </c>
      <c r="T36" s="1461" t="s">
        <v>8</v>
      </c>
      <c r="U36" s="1462">
        <f t="shared" si="13"/>
        <v>100</v>
      </c>
      <c r="V36" s="1461" t="s">
        <v>8</v>
      </c>
      <c r="W36" s="1462">
        <f t="shared" si="14"/>
        <v>100</v>
      </c>
      <c r="X36" s="3531"/>
      <c r="Y36" s="3740"/>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40"/>
      <c r="Q37" s="3528" t="str">
        <f t="shared" si="11"/>
        <v>成新度</v>
      </c>
      <c r="R37" s="1456" t="s">
        <v>8</v>
      </c>
      <c r="S37" s="1457">
        <f t="shared" si="12"/>
        <v>100</v>
      </c>
      <c r="T37" s="1456" t="s">
        <v>8</v>
      </c>
      <c r="U37" s="1457">
        <f t="shared" si="13"/>
        <v>100</v>
      </c>
      <c r="V37" s="1456" t="s">
        <v>8</v>
      </c>
      <c r="W37" s="1457">
        <f t="shared" si="14"/>
        <v>100</v>
      </c>
      <c r="X37" s="1458"/>
      <c r="Y37" s="3740"/>
      <c r="Z37" s="3527"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40" t="s">
        <v>527</v>
      </c>
      <c r="Q38" s="3529" t="str">
        <f t="shared" si="11"/>
        <v>物业管理</v>
      </c>
      <c r="R38" s="1461" t="s">
        <v>8</v>
      </c>
      <c r="S38" s="1462">
        <f t="shared" si="12"/>
        <v>100</v>
      </c>
      <c r="T38" s="1461" t="s">
        <v>8</v>
      </c>
      <c r="U38" s="1462">
        <f t="shared" si="13"/>
        <v>100</v>
      </c>
      <c r="V38" s="1461" t="s">
        <v>8</v>
      </c>
      <c r="W38" s="1462">
        <f t="shared" si="14"/>
        <v>100</v>
      </c>
      <c r="X38" s="3531"/>
      <c r="Y38" s="3740"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40"/>
      <c r="Q39" s="3529" t="str">
        <f t="shared" si="11"/>
        <v>市政基础设施</v>
      </c>
      <c r="R39" s="1461" t="s">
        <v>8</v>
      </c>
      <c r="S39" s="1462">
        <f t="shared" si="12"/>
        <v>100</v>
      </c>
      <c r="T39" s="1461" t="s">
        <v>8</v>
      </c>
      <c r="U39" s="1462">
        <f t="shared" si="13"/>
        <v>100</v>
      </c>
      <c r="V39" s="1461" t="s">
        <v>8</v>
      </c>
      <c r="W39" s="1462">
        <f t="shared" si="14"/>
        <v>100</v>
      </c>
      <c r="X39" s="3531"/>
      <c r="Y39" s="3740"/>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40"/>
      <c r="Q40" s="3529" t="str">
        <f t="shared" si="11"/>
        <v>房型</v>
      </c>
      <c r="R40" s="1461" t="s">
        <v>8</v>
      </c>
      <c r="S40" s="1462">
        <f t="shared" si="12"/>
        <v>100</v>
      </c>
      <c r="T40" s="1461" t="s">
        <v>8</v>
      </c>
      <c r="U40" s="1462">
        <f t="shared" si="13"/>
        <v>100</v>
      </c>
      <c r="V40" s="1461" t="s">
        <v>8</v>
      </c>
      <c r="W40" s="1462">
        <f t="shared" si="14"/>
        <v>100</v>
      </c>
      <c r="X40" s="3531"/>
      <c r="Y40" s="3740"/>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40"/>
      <c r="Q41" s="1489" t="str">
        <f t="shared" si="11"/>
        <v>单套/主力户型建筑面积</v>
      </c>
      <c r="R41" s="1465" t="s">
        <v>8</v>
      </c>
      <c r="S41" s="1466">
        <f t="shared" si="12"/>
        <v>100</v>
      </c>
      <c r="T41" s="1465" t="s">
        <v>8</v>
      </c>
      <c r="U41" s="1466">
        <f t="shared" si="13"/>
        <v>100</v>
      </c>
      <c r="V41" s="1465" t="s">
        <v>8</v>
      </c>
      <c r="W41" s="1466">
        <f t="shared" si="14"/>
        <v>100</v>
      </c>
      <c r="X41" s="1467"/>
      <c r="Y41" s="3740"/>
      <c r="Z41" s="1468" t="str">
        <f t="shared" si="15"/>
        <v>单套/主力户型建筑面积</v>
      </c>
      <c r="AA41" s="3532">
        <f t="shared" si="3"/>
        <v>1</v>
      </c>
      <c r="AB41" s="3532">
        <f t="shared" si="4"/>
        <v>1</v>
      </c>
      <c r="AC41" s="3532">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40"/>
      <c r="Q42" s="3529" t="str">
        <f t="shared" si="11"/>
        <v>内部装修</v>
      </c>
      <c r="R42" s="1461" t="s">
        <v>8</v>
      </c>
      <c r="S42" s="1462">
        <f t="shared" si="12"/>
        <v>100</v>
      </c>
      <c r="T42" s="1461" t="s">
        <v>8</v>
      </c>
      <c r="U42" s="1462">
        <f t="shared" si="13"/>
        <v>100</v>
      </c>
      <c r="V42" s="1461" t="s">
        <v>8</v>
      </c>
      <c r="W42" s="1462">
        <f t="shared" si="14"/>
        <v>100</v>
      </c>
      <c r="X42" s="3531"/>
      <c r="Y42" s="3740"/>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40"/>
      <c r="Q43" s="3529" t="str">
        <f t="shared" si="11"/>
        <v>内部装修维护情况</v>
      </c>
      <c r="R43" s="1461" t="s">
        <v>8</v>
      </c>
      <c r="S43" s="1462">
        <f t="shared" si="12"/>
        <v>100</v>
      </c>
      <c r="T43" s="1461" t="s">
        <v>8</v>
      </c>
      <c r="U43" s="1462">
        <f t="shared" si="13"/>
        <v>100</v>
      </c>
      <c r="V43" s="1461" t="s">
        <v>8</v>
      </c>
      <c r="W43" s="1462">
        <f t="shared" si="14"/>
        <v>100</v>
      </c>
      <c r="X43" s="3531"/>
      <c r="Y43" s="3740"/>
      <c r="Z43" s="3530" t="str">
        <f t="shared" si="15"/>
        <v>内部装修维护情况</v>
      </c>
      <c r="AA43" s="3532">
        <f t="shared" si="3"/>
        <v>1</v>
      </c>
      <c r="AB43" s="3532">
        <f t="shared" si="4"/>
        <v>1</v>
      </c>
      <c r="AC43" s="3532">
        <f t="shared" si="5"/>
        <v>1</v>
      </c>
    </row>
    <row r="44" spans="1:29" s="1165" customFormat="1" ht="15">
      <c r="A44" s="575"/>
      <c r="B44" s="3543" t="s">
        <v>3753</v>
      </c>
      <c r="C44" s="3544" t="s">
        <v>3754</v>
      </c>
      <c r="D44" s="252">
        <v>100</v>
      </c>
      <c r="E44" s="3544" t="s">
        <v>3755</v>
      </c>
      <c r="F44" s="833">
        <f>SUMIF(126:126,E44,127:127)-SUMIF(126:126,C44,127:127)+100</f>
        <v>115</v>
      </c>
      <c r="G44" s="3544" t="s">
        <v>3755</v>
      </c>
      <c r="H44" s="252">
        <f>SUMIF(126:126,G44,127:127)-SUMIF(126:126,C44,127:127)+100</f>
        <v>115</v>
      </c>
      <c r="I44" s="3544" t="s">
        <v>3755</v>
      </c>
      <c r="J44" s="252">
        <f>SUMIF(126:126,I44,127:127)-SUMIF(126:126,C44,127:127)+100</f>
        <v>115</v>
      </c>
      <c r="K44" s="835"/>
      <c r="L44" s="1966"/>
      <c r="M44" s="1967"/>
      <c r="N44" s="1967"/>
      <c r="O44" s="1968"/>
      <c r="P44" s="3740"/>
      <c r="Q44" s="3528" t="str">
        <f t="shared" si="11"/>
        <v>含地下</v>
      </c>
      <c r="R44" s="1456" t="s">
        <v>8</v>
      </c>
      <c r="S44" s="1457">
        <f t="shared" si="12"/>
        <v>115</v>
      </c>
      <c r="T44" s="1456" t="s">
        <v>8</v>
      </c>
      <c r="U44" s="1457">
        <f t="shared" si="13"/>
        <v>115</v>
      </c>
      <c r="V44" s="1456" t="s">
        <v>8</v>
      </c>
      <c r="W44" s="1457">
        <f t="shared" si="14"/>
        <v>115</v>
      </c>
      <c r="X44" s="1458"/>
      <c r="Y44" s="3740"/>
      <c r="Z44" s="3527" t="str">
        <f t="shared" si="15"/>
        <v>含地下</v>
      </c>
      <c r="AA44" s="1459">
        <f t="shared" si="3"/>
        <v>0.86956521739130432</v>
      </c>
      <c r="AB44" s="1459">
        <f t="shared" si="4"/>
        <v>0.86956521739130432</v>
      </c>
      <c r="AC44" s="1459">
        <f t="shared" si="5"/>
        <v>0.86956521739130432</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40"/>
      <c r="Q45" s="3529">
        <f t="shared" si="11"/>
        <v>111</v>
      </c>
      <c r="R45" s="1461" t="s">
        <v>8</v>
      </c>
      <c r="S45" s="1462">
        <f t="shared" si="12"/>
        <v>100</v>
      </c>
      <c r="T45" s="1461" t="s">
        <v>8</v>
      </c>
      <c r="U45" s="1462">
        <f t="shared" si="13"/>
        <v>100</v>
      </c>
      <c r="V45" s="1461" t="s">
        <v>8</v>
      </c>
      <c r="W45" s="1462">
        <f t="shared" si="14"/>
        <v>100</v>
      </c>
      <c r="X45" s="3531"/>
      <c r="Y45" s="3740"/>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5"/>
      <c r="Q46" s="3529">
        <f t="shared" si="11"/>
        <v>111</v>
      </c>
      <c r="R46" s="1461" t="s">
        <v>8</v>
      </c>
      <c r="S46" s="1462">
        <f t="shared" si="12"/>
        <v>100</v>
      </c>
      <c r="T46" s="1461" t="s">
        <v>8</v>
      </c>
      <c r="U46" s="1462">
        <f t="shared" si="13"/>
        <v>100</v>
      </c>
      <c r="V46" s="1461" t="s">
        <v>8</v>
      </c>
      <c r="W46" s="1462">
        <f t="shared" si="14"/>
        <v>100</v>
      </c>
      <c r="X46" s="3531"/>
      <c r="Y46" s="3835"/>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35" t="str">
        <f>A47</f>
        <v>成交单价（元/平方米）</v>
      </c>
      <c r="Q47" s="3735"/>
      <c r="R47" s="3834">
        <f>E47</f>
        <v>6370</v>
      </c>
      <c r="S47" s="3834"/>
      <c r="T47" s="3834">
        <f>G47</f>
        <v>6272</v>
      </c>
      <c r="U47" s="3834"/>
      <c r="V47" s="3834">
        <f>I47</f>
        <v>6762</v>
      </c>
      <c r="W47" s="3834"/>
      <c r="X47" s="1450"/>
      <c r="Y47" s="1469"/>
      <c r="Z47" s="1450"/>
      <c r="AA47" s="1450"/>
      <c r="AB47" s="1450"/>
      <c r="AC47" s="1450"/>
    </row>
    <row r="48" spans="1:29" ht="15.75" thickBot="1">
      <c r="A48" s="590" t="s">
        <v>2462</v>
      </c>
      <c r="B48" s="858"/>
      <c r="C48" s="2422">
        <f>R49</f>
        <v>6550</v>
      </c>
      <c r="D48" s="2946" t="s">
        <v>2752</v>
      </c>
      <c r="E48" s="2423">
        <f>R48</f>
        <v>6542</v>
      </c>
      <c r="F48" s="2947"/>
      <c r="G48" s="2422">
        <f>T48</f>
        <v>6441</v>
      </c>
      <c r="H48" s="2947"/>
      <c r="I48" s="2423">
        <f>V48</f>
        <v>6667</v>
      </c>
      <c r="J48" s="2947"/>
      <c r="K48" s="2955">
        <f>F48+H48+J48</f>
        <v>0</v>
      </c>
      <c r="L48" s="1975"/>
      <c r="M48" s="1976"/>
      <c r="N48" s="1976"/>
      <c r="O48" s="1976"/>
      <c r="P48" s="3735" t="str">
        <f>A48</f>
        <v>比较价格（元/平方米）</v>
      </c>
      <c r="Q48" s="3735"/>
      <c r="R48" s="3834">
        <f>IF(F1="售价",ROUND(PRODUCT(R47,AA7:AA46),0),ROUND(PRODUCT(R47,AA7:AA46),1))</f>
        <v>6542</v>
      </c>
      <c r="S48" s="3834"/>
      <c r="T48" s="3834">
        <f>IF(F1="售价",ROUND(PRODUCT(T47,AB7:AB46),0),ROUND(PRODUCT(T47,AB7:AB46),1))</f>
        <v>6441</v>
      </c>
      <c r="U48" s="3834"/>
      <c r="V48" s="3834">
        <f>IF(F1="售价",ROUND(PRODUCT(V47,AC7:AC46),0),ROUND(PRODUCT(V47,AC7:AC46),1))</f>
        <v>6667</v>
      </c>
      <c r="W48" s="3834"/>
      <c r="X48" s="1450"/>
      <c r="Y48" s="1450"/>
      <c r="Z48" s="1450"/>
      <c r="AA48" s="1450"/>
      <c r="AB48" s="1450"/>
      <c r="AC48" s="1450"/>
    </row>
    <row r="49" spans="1:29" ht="15.75" thickBot="1">
      <c r="A49" s="594" t="s">
        <v>2689</v>
      </c>
      <c r="B49" s="595"/>
      <c r="C49" s="2424">
        <f>R49</f>
        <v>6550</v>
      </c>
      <c r="D49" s="2424"/>
      <c r="E49" s="2424"/>
      <c r="F49" s="2424"/>
      <c r="G49" s="2424"/>
      <c r="H49" s="2424"/>
      <c r="I49" s="2424"/>
      <c r="J49" s="2424"/>
      <c r="K49" s="1491"/>
      <c r="L49" s="1975"/>
      <c r="M49" s="1976"/>
      <c r="N49" s="1976"/>
      <c r="O49" s="1976"/>
      <c r="P49" s="3741" t="str">
        <f>A49</f>
        <v>估价对象XX用房的比较价格（楼面单价，元/平方米）</v>
      </c>
      <c r="Q49" s="3742"/>
      <c r="R49" s="3833">
        <f>IF(F1="售价",ROUND(IF(D48="简单平均",AVERAGE(R48:V48),R48*F48+T48*H48+V48*J48),0),ROUND(IF(D48="简单平均",AVERAGE(R48:V48),R48*F48+T48*H48+V48*J48),1))</f>
        <v>6550</v>
      </c>
      <c r="S49" s="3833"/>
      <c r="T49" s="3833"/>
      <c r="U49" s="3833"/>
      <c r="V49" s="3833"/>
      <c r="W49" s="3833"/>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2.7001569858712715E-2</v>
      </c>
      <c r="F52" s="600" t="str">
        <f>IF(OR(E52&gt;=0.3,E52&lt;=-0.3),"超过30%","")</f>
        <v/>
      </c>
      <c r="G52" s="599">
        <f>IF(G47&lt;G48,G48/G47-1,G47/G48-1)</f>
        <v>2.694515306122458E-2</v>
      </c>
      <c r="H52" s="600" t="str">
        <f>IF(OR(G52&gt;=0.3,G52&lt;=-0.3),"超过30%","")</f>
        <v/>
      </c>
      <c r="I52" s="599">
        <f>IF(I47&lt;I48,I48/I47-1,I47/I48-1)</f>
        <v>1.4249287535623267E-2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1.5680794907622975E-2</v>
      </c>
      <c r="F53" s="600" t="str">
        <f>IF(OR(E53&gt;=0.2,E53&lt;=-0.2),"超过20%","")</f>
        <v/>
      </c>
      <c r="G53" s="599">
        <f>IF(G48&lt;I48,I48/G48-1,G48/I48-1)</f>
        <v>3.5087719298245723E-2</v>
      </c>
      <c r="H53" s="600" t="str">
        <f>IF(OR(G53&gt;=0.2,G53&lt;=-0.2),"超过20%","")</f>
        <v/>
      </c>
      <c r="I53" s="599">
        <f>IF(I48&lt;E48,E48/I48-1,I48/E48-1)</f>
        <v>1.9107306634056798E-2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3730</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90</v>
      </c>
      <c r="E101" s="652">
        <f t="shared" si="22"/>
        <v>80</v>
      </c>
      <c r="F101" s="652">
        <f t="shared" si="22"/>
        <v>70</v>
      </c>
      <c r="G101" s="652">
        <f t="shared" si="22"/>
        <v>60</v>
      </c>
      <c r="H101" s="652">
        <f t="shared" si="22"/>
        <v>50</v>
      </c>
      <c r="I101" s="652">
        <f t="shared" si="22"/>
        <v>40</v>
      </c>
      <c r="J101" s="652">
        <f t="shared" si="22"/>
        <v>30</v>
      </c>
      <c r="K101" s="652">
        <f t="shared" si="22"/>
        <v>20</v>
      </c>
      <c r="L101" s="652">
        <f t="shared" si="22"/>
        <v>10</v>
      </c>
      <c r="M101" s="652">
        <f t="shared" si="22"/>
        <v>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t="str">
        <f>B44</f>
        <v>含地下</v>
      </c>
      <c r="C126" s="3545" t="s">
        <v>3756</v>
      </c>
      <c r="D126" s="3545" t="s">
        <v>3754</v>
      </c>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v>100</v>
      </c>
      <c r="D127" s="644">
        <v>85</v>
      </c>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36.54</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5299</v>
      </c>
      <c r="C2" s="3195"/>
      <c r="D2" s="3196"/>
      <c r="E2" s="3197"/>
      <c r="F2" s="3197"/>
      <c r="G2" s="3191"/>
      <c r="H2" s="1890"/>
      <c r="I2" s="1890"/>
      <c r="J2" s="1890"/>
      <c r="K2" s="1891"/>
      <c r="L2" s="1890"/>
      <c r="M2" s="1890"/>
    </row>
    <row r="3" spans="1:33" ht="18" customHeight="1" thickBot="1">
      <c r="A3" s="803" t="s">
        <v>1520</v>
      </c>
      <c r="B3" s="804">
        <f ca="1">IF(ISERROR(B2*10000/F43),0,ROUND(B2*10000/F43,0))</f>
        <v>7726</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338</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338</v>
      </c>
      <c r="D6" s="2297" t="s">
        <v>2232</v>
      </c>
      <c r="E6" s="755" t="s">
        <v>1531</v>
      </c>
      <c r="F6" s="756">
        <f ca="1">INDIRECT("'数据-取费表'!u"&amp;$G$1)</f>
        <v>1.5</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6858.59</v>
      </c>
      <c r="G7" s="1895"/>
      <c r="H7" s="2289"/>
      <c r="I7" s="3826"/>
      <c r="J7" s="759"/>
      <c r="K7" s="760"/>
      <c r="L7" s="755" t="s">
        <v>1532</v>
      </c>
      <c r="M7" s="756">
        <f ca="1">F7</f>
        <v>6858.59</v>
      </c>
    </row>
    <row r="8" spans="1:33" ht="18" customHeight="1">
      <c r="A8" s="2293"/>
      <c r="B8" s="3827"/>
      <c r="C8" s="759"/>
      <c r="D8" s="760"/>
      <c r="E8" s="755" t="s">
        <v>1533</v>
      </c>
      <c r="F8" s="756">
        <f ca="1">INDIRECT("'数据-取费表'!ai"&amp;$G$1)</f>
        <v>365</v>
      </c>
      <c r="G8" s="1895"/>
      <c r="H8" s="2289"/>
      <c r="I8" s="3827"/>
      <c r="J8" s="759"/>
      <c r="K8" s="760"/>
      <c r="L8" s="755" t="s">
        <v>1533</v>
      </c>
      <c r="M8" s="756">
        <f ca="1">INDIRECT("'数据-取费表'!ai"&amp;$G$1)</f>
        <v>365</v>
      </c>
    </row>
    <row r="9" spans="1:33" ht="18" customHeight="1">
      <c r="A9" s="757"/>
      <c r="B9" s="3828"/>
      <c r="C9" s="759"/>
      <c r="D9" s="760"/>
      <c r="E9" s="755" t="s">
        <v>1534</v>
      </c>
      <c r="F9" s="765">
        <f ca="1">INDIRECT("'数据-取费表'!w"&amp;$G$1)</f>
        <v>0.1</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t="s">
        <v>3757</v>
      </c>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3007</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2058</v>
      </c>
      <c r="D14" s="1843" t="s">
        <v>1538</v>
      </c>
      <c r="E14" s="1844"/>
      <c r="F14" s="776"/>
      <c r="G14" s="1895"/>
      <c r="H14" s="1530" t="s">
        <v>1623</v>
      </c>
      <c r="I14" s="2060" t="s">
        <v>2594</v>
      </c>
      <c r="J14" s="53">
        <f ca="1">C29</f>
        <v>3007</v>
      </c>
      <c r="K14" s="26"/>
      <c r="L14" s="772"/>
      <c r="M14" s="773"/>
    </row>
    <row r="15" spans="1:33" s="1897" customFormat="1" ht="18" customHeight="1" thickBot="1">
      <c r="A15" s="1529" t="s">
        <v>1672</v>
      </c>
      <c r="B15" s="755" t="s">
        <v>623</v>
      </c>
      <c r="C15" s="53">
        <f ca="1">ROUND(C14*F15,0)</f>
        <v>62</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283</v>
      </c>
      <c r="K16" s="1687" t="s">
        <v>1543</v>
      </c>
      <c r="L16" s="2286"/>
      <c r="M16" s="2291"/>
    </row>
    <row r="17" spans="1:33" s="1897" customFormat="1" ht="18" customHeight="1">
      <c r="A17" s="1529" t="s">
        <v>1674</v>
      </c>
      <c r="B17" s="755" t="s">
        <v>629</v>
      </c>
      <c r="C17" s="53">
        <f ca="1">ROUND(F17*(F43+INDIRECT("'数据-取费表'!S"&amp;$G$1))/10000,0)</f>
        <v>123</v>
      </c>
      <c r="D17" s="755" t="s">
        <v>1544</v>
      </c>
      <c r="E17" s="755" t="s">
        <v>1545</v>
      </c>
      <c r="F17" s="56">
        <f>'数据-取费表'!B35</f>
        <v>180</v>
      </c>
      <c r="G17" s="3192"/>
      <c r="H17" s="1530" t="s">
        <v>1623</v>
      </c>
      <c r="I17" s="755" t="s">
        <v>632</v>
      </c>
      <c r="J17" s="2951">
        <f ca="1">ROUND(IF(AND(项目基本情况!B11="自然人",项目基本情况!B10="北京市"),J6*M17/(1+'数据-取费表'!C42),J18+J19+J20),0)</f>
        <v>253</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31</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2274</v>
      </c>
      <c r="D19" s="258" t="s">
        <v>1550</v>
      </c>
      <c r="E19" s="1846"/>
      <c r="F19" s="56"/>
      <c r="G19" s="1895"/>
      <c r="H19" s="1529" t="s">
        <v>1672</v>
      </c>
      <c r="I19" s="755" t="s">
        <v>1551</v>
      </c>
      <c r="J19" s="53">
        <f ca="1">IF(K19="按租金收入计税",ROUND(J6*M19/(1+'数据-取费表'!C42),1),ROUND(C29*F33*0.7,1))</f>
        <v>252.6</v>
      </c>
      <c r="K19" s="781" t="s">
        <v>641</v>
      </c>
      <c r="L19" s="755" t="s">
        <v>1540</v>
      </c>
      <c r="M19" s="780">
        <f>IF(K19="按租金收入计税",'数据-取费表'!B51,'数据-取费表'!B50)</f>
        <v>1.2E-2</v>
      </c>
    </row>
    <row r="20" spans="1:33" s="1897" customFormat="1" ht="18" customHeight="1">
      <c r="A20" s="1530" t="s">
        <v>1676</v>
      </c>
      <c r="B20" s="755" t="s">
        <v>642</v>
      </c>
      <c r="C20" s="53">
        <f ca="1">ROUND(C19*F20,0)</f>
        <v>34</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3573.94</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30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138</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-283</v>
      </c>
      <c r="K25" s="2348" t="s">
        <v>1570</v>
      </c>
      <c r="L25" s="2349"/>
      <c r="M25" s="2350"/>
    </row>
    <row r="26" spans="1:33" ht="18" customHeight="1">
      <c r="A26" s="1529" t="s">
        <v>1624</v>
      </c>
      <c r="B26" s="755" t="s">
        <v>2210</v>
      </c>
      <c r="C26" s="53">
        <f ca="1">ROUND((C19+C20)*F26,0)</f>
        <v>346</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3007</v>
      </c>
      <c r="D29" s="2345"/>
      <c r="E29" s="2346"/>
      <c r="F29" s="2347"/>
      <c r="G29" s="3192"/>
      <c r="H29" s="793" t="s">
        <v>1580</v>
      </c>
      <c r="I29" s="794" t="s">
        <v>1581</v>
      </c>
      <c r="J29" s="795">
        <f ca="1">ROUND(J26/(1+F40)^F41,0)</f>
        <v>0</v>
      </c>
      <c r="K29" s="796" t="s">
        <v>1582</v>
      </c>
      <c r="L29" s="797"/>
      <c r="M29" s="798">
        <f ca="1">INDIRECT("'数据-取费表'!k"&amp;$G$1)</f>
        <v>6858.59</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94</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57</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18</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38.6</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3573.94</v>
      </c>
      <c r="G35" s="1895"/>
      <c r="H35" s="1898"/>
      <c r="I35" s="807" t="s">
        <v>1607</v>
      </c>
      <c r="J35" s="808">
        <f ca="1">ROUND(C13*J36,0)</f>
        <v>226</v>
      </c>
      <c r="K35" s="1911"/>
      <c r="L35" s="1910"/>
      <c r="M35" s="1910"/>
    </row>
    <row r="36" spans="1:18" ht="18" customHeight="1">
      <c r="A36" s="1530" t="s">
        <v>1676</v>
      </c>
      <c r="B36" s="755" t="s">
        <v>1595</v>
      </c>
      <c r="C36" s="53">
        <f ca="1">ROUND(C29*F36,1)</f>
        <v>30.1</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3</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3.4</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244</v>
      </c>
      <c r="D39" s="2348" t="s">
        <v>1599</v>
      </c>
      <c r="E39" s="2349"/>
      <c r="F39" s="2350"/>
      <c r="G39" s="1895"/>
      <c r="H39" s="1910"/>
      <c r="I39" s="807" t="s">
        <v>1611</v>
      </c>
      <c r="J39" s="815">
        <f ca="1">ROUND(J35/C39,3)</f>
        <v>0.92600000000000005</v>
      </c>
      <c r="K39" s="1915"/>
      <c r="L39" s="1910"/>
      <c r="M39" s="1910"/>
    </row>
    <row r="40" spans="1:18" ht="18" customHeight="1">
      <c r="A40" s="752" t="s">
        <v>1682</v>
      </c>
      <c r="B40" s="2061" t="s">
        <v>2082</v>
      </c>
      <c r="C40" s="754">
        <f ca="1">ROUND(C39*(1-((1+F42)/(1+F40))^F41)/(F40-F42),0)</f>
        <v>5299</v>
      </c>
      <c r="D40" s="784" t="s">
        <v>1600</v>
      </c>
      <c r="E40" s="755" t="s">
        <v>2197</v>
      </c>
      <c r="F40" s="765">
        <f ca="1">INDIRECT("'数据-取费表'!I"&amp;$G$1)</f>
        <v>5.5E-2</v>
      </c>
      <c r="G40" s="1895"/>
      <c r="H40" s="1895"/>
      <c r="I40" s="807" t="s">
        <v>1612</v>
      </c>
      <c r="J40" s="815">
        <f ca="1">1-J39</f>
        <v>7.3999999999999955E-2</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36.54</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f ca="1">ROUND(C13/C40,3)</f>
        <v>0.56699999999999995</v>
      </c>
      <c r="K42" s="1914"/>
      <c r="L42" s="1850"/>
      <c r="M42" s="1850"/>
    </row>
    <row r="43" spans="1:18" ht="18" customHeight="1" thickBot="1">
      <c r="A43" s="793" t="s">
        <v>1580</v>
      </c>
      <c r="B43" s="794" t="s">
        <v>1603</v>
      </c>
      <c r="C43" s="795">
        <f ca="1">ROUND(C40*10000/F43,0)</f>
        <v>7726</v>
      </c>
      <c r="D43" s="796" t="s">
        <v>1604</v>
      </c>
      <c r="E43" s="797" t="s">
        <v>1605</v>
      </c>
      <c r="F43" s="798">
        <f ca="1">INDIRECT("'数据-取费表'!k"&amp;$G$1)</f>
        <v>6858.59</v>
      </c>
      <c r="G43" s="1895"/>
      <c r="H43" s="1850"/>
      <c r="I43" s="817" t="s">
        <v>1615</v>
      </c>
      <c r="J43" s="818">
        <f ca="1">1-J42</f>
        <v>0.43300000000000005</v>
      </c>
      <c r="K43" s="1914"/>
      <c r="L43" s="1850"/>
      <c r="M43" s="1850"/>
    </row>
    <row r="44" spans="1:18" s="1892" customFormat="1" ht="18" customHeight="1">
      <c r="A44" s="1917"/>
      <c r="B44" s="1917"/>
      <c r="C44" s="1934"/>
      <c r="D44" s="1917"/>
      <c r="E44" s="1917"/>
      <c r="F44" s="1917">
        <f ca="1">C40/F7</f>
        <v>0.7726077808995726</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-5814</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36.54</v>
      </c>
      <c r="M48" s="3194"/>
      <c r="O48" s="2202" t="s">
        <v>2157</v>
      </c>
      <c r="P48" s="2203" t="s">
        <v>2183</v>
      </c>
      <c r="Q48" s="2204">
        <f ca="1">C40+J29</f>
        <v>5299</v>
      </c>
      <c r="R48" s="2203" t="s">
        <v>2158</v>
      </c>
    </row>
    <row r="49" spans="1:18" s="1892" customFormat="1" ht="18" customHeight="1" thickBot="1">
      <c r="A49" s="757"/>
      <c r="B49" s="758"/>
      <c r="C49" s="759"/>
      <c r="D49" s="760"/>
      <c r="E49" s="755" t="s">
        <v>1532</v>
      </c>
      <c r="F49" s="756">
        <f ca="1">F7</f>
        <v>6858.59</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3007</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350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36.54</v>
      </c>
      <c r="K53" s="3836" t="s">
        <v>2717</v>
      </c>
      <c r="L53" s="3837"/>
      <c r="M53" s="3194"/>
      <c r="O53" s="2205" t="s">
        <v>2166</v>
      </c>
      <c r="P53" s="2203" t="s">
        <v>2167</v>
      </c>
      <c r="Q53" s="2204">
        <f ca="1">J53</f>
        <v>36.54</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5299</v>
      </c>
      <c r="R54" s="2207" t="s">
        <v>2170</v>
      </c>
    </row>
    <row r="55" spans="1:18" s="1892" customFormat="1" ht="18" customHeight="1" thickTop="1" thickBot="1">
      <c r="A55" s="768">
        <v>2</v>
      </c>
      <c r="B55" s="769" t="s">
        <v>620</v>
      </c>
      <c r="C55" s="770">
        <f ca="1">C13</f>
        <v>3007</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3007</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33</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5299</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3573.94</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30.1</v>
      </c>
      <c r="D63" s="2427" t="s">
        <v>1596</v>
      </c>
      <c r="E63" s="755" t="s">
        <v>1540</v>
      </c>
      <c r="F63" s="787">
        <f t="shared" ca="1" si="0"/>
        <v>0.01</v>
      </c>
      <c r="I63" s="2766" t="s">
        <v>2148</v>
      </c>
      <c r="J63" s="2767">
        <v>70</v>
      </c>
      <c r="K63" s="2767">
        <v>50</v>
      </c>
      <c r="L63" s="2767">
        <v>80</v>
      </c>
      <c r="M63" s="2769">
        <v>0.02</v>
      </c>
      <c r="O63" s="2202" t="s">
        <v>2169</v>
      </c>
      <c r="P63" s="2203" t="s">
        <v>2186</v>
      </c>
      <c r="Q63" s="2204">
        <f ca="1">Q57+Q58</f>
        <v>5299</v>
      </c>
      <c r="R63" s="2207" t="s">
        <v>2170</v>
      </c>
    </row>
    <row r="64" spans="1:18" s="1892" customFormat="1" ht="16.5" thickBot="1">
      <c r="A64" s="1530" t="s">
        <v>1677</v>
      </c>
      <c r="B64" s="755" t="s">
        <v>655</v>
      </c>
      <c r="C64" s="53">
        <f ca="1">ROUND(C55*F64,1)</f>
        <v>3</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-33</v>
      </c>
      <c r="D66" s="2426" t="s">
        <v>676</v>
      </c>
      <c r="E66" s="2425"/>
      <c r="F66" s="790"/>
      <c r="K66" s="1918"/>
      <c r="O66" s="2202" t="s">
        <v>2157</v>
      </c>
      <c r="P66" s="2203" t="s">
        <v>2187</v>
      </c>
      <c r="Q66" s="2204">
        <f ca="1">C40+J29</f>
        <v>5299</v>
      </c>
      <c r="R66" s="2203" t="s">
        <v>2158</v>
      </c>
    </row>
    <row r="67" spans="1:18" s="1892" customFormat="1" ht="20.25" thickBot="1">
      <c r="A67" s="752" t="s">
        <v>1573</v>
      </c>
      <c r="B67" s="2061" t="s">
        <v>2082</v>
      </c>
      <c r="C67" s="754">
        <f ca="1">ROUND(C66*(1-((1+F69)/(1+F67))^F68)/(F67-F69),0)</f>
        <v>-515</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36.54</v>
      </c>
      <c r="O68" s="2205" t="s">
        <v>2161</v>
      </c>
      <c r="P68" s="2203" t="s">
        <v>2191</v>
      </c>
      <c r="Q68" s="2209">
        <f ca="1">L51</f>
        <v>350</v>
      </c>
      <c r="R68" s="2210" t="s">
        <v>2194</v>
      </c>
    </row>
    <row r="69" spans="1:18" ht="20.25" thickBot="1">
      <c r="A69" s="761"/>
      <c r="B69" s="762"/>
      <c r="C69" s="763"/>
      <c r="D69" s="786"/>
      <c r="E69" s="755" t="s">
        <v>686</v>
      </c>
      <c r="F69" s="2175"/>
      <c r="O69" s="2205" t="s">
        <v>2162</v>
      </c>
      <c r="P69" s="2211" t="s">
        <v>2176</v>
      </c>
      <c r="Q69" s="2204">
        <f ca="1">ROUND(Q70-Q71*Q72,0)</f>
        <v>18</v>
      </c>
      <c r="R69" s="2207"/>
    </row>
    <row r="70" spans="1:18" ht="15.75" thickBot="1">
      <c r="A70" s="793" t="s">
        <v>1580</v>
      </c>
      <c r="B70" s="794" t="s">
        <v>1603</v>
      </c>
      <c r="C70" s="795">
        <f ca="1">ROUND(C67*10000/F70,0)</f>
        <v>-751</v>
      </c>
      <c r="D70" s="796" t="s">
        <v>1604</v>
      </c>
      <c r="E70" s="797" t="s">
        <v>1605</v>
      </c>
      <c r="F70" s="798">
        <f ca="1">F43</f>
        <v>6858.59</v>
      </c>
      <c r="O70" s="2205" t="s">
        <v>2177</v>
      </c>
      <c r="P70" s="2211" t="s">
        <v>2178</v>
      </c>
      <c r="Q70" s="2204">
        <f ca="1">C39</f>
        <v>244</v>
      </c>
      <c r="R70" s="2203" t="s">
        <v>2158</v>
      </c>
    </row>
    <row r="71" spans="1:18" ht="15.75" thickBot="1">
      <c r="O71" s="2205" t="s">
        <v>2179</v>
      </c>
      <c r="P71" s="2211" t="s">
        <v>2180</v>
      </c>
      <c r="Q71" s="2204">
        <f ca="1">C13</f>
        <v>3007</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5299</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f ca="1">J53</f>
        <v>46.55</v>
      </c>
      <c r="G1" s="3190">
        <f>MATCH(C1,'数据-取费表'!A6:A16,0)+5</f>
        <v>10</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7208</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356</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356</v>
      </c>
      <c r="D6" s="2297" t="s">
        <v>2232</v>
      </c>
      <c r="E6" s="755" t="s">
        <v>1531</v>
      </c>
      <c r="F6" s="756">
        <f ca="1">INDIRECT("'数据-取费表'!u"&amp;$G$1)</f>
        <v>200</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1745</v>
      </c>
      <c r="G7" s="1895"/>
      <c r="H7" s="2289"/>
      <c r="I7" s="3826"/>
      <c r="J7" s="759"/>
      <c r="K7" s="760"/>
      <c r="L7" s="755" t="s">
        <v>1532</v>
      </c>
      <c r="M7" s="756">
        <f ca="1">F7</f>
        <v>1745</v>
      </c>
    </row>
    <row r="8" spans="1:33" ht="18" customHeight="1">
      <c r="A8" s="2293"/>
      <c r="B8" s="3827"/>
      <c r="C8" s="759"/>
      <c r="D8" s="760"/>
      <c r="E8" s="755" t="s">
        <v>1533</v>
      </c>
      <c r="F8" s="756">
        <f ca="1">INDIRECT("'数据-取费表'!ai"&amp;$G$1)</f>
        <v>12</v>
      </c>
      <c r="G8" s="1895"/>
      <c r="H8" s="2289"/>
      <c r="I8" s="3827"/>
      <c r="J8" s="759"/>
      <c r="K8" s="760"/>
      <c r="L8" s="755" t="s">
        <v>1533</v>
      </c>
      <c r="M8" s="756">
        <f ca="1">INDIRECT("'数据-取费表'!ai"&amp;$G$1)</f>
        <v>12</v>
      </c>
    </row>
    <row r="9" spans="1:33" ht="18" customHeight="1">
      <c r="A9" s="757"/>
      <c r="B9" s="3828"/>
      <c r="C9" s="759"/>
      <c r="D9" s="760"/>
      <c r="E9" s="755" t="s">
        <v>1534</v>
      </c>
      <c r="F9" s="765">
        <f ca="1">INDIRECT("'数据-取费表'!w"&amp;$G$1)</f>
        <v>0.15</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3459" t="s">
        <v>1538</v>
      </c>
      <c r="E14" s="3458"/>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3461"/>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3462"/>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f ca="1">ROUND(J14*M22,0)</f>
        <v>0</v>
      </c>
      <c r="K22" s="3460"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3460"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0.03</v>
      </c>
      <c r="G26" s="1895"/>
      <c r="H26" s="2302" t="s">
        <v>1573</v>
      </c>
      <c r="I26" s="2061" t="s">
        <v>2595</v>
      </c>
      <c r="J26" s="754">
        <f ca="1">IF(J5&lt;&gt;0,ROUND(J25*(1-((1+M28)/(1+M26))^M27)/(M26-M28),0),0)</f>
        <v>0</v>
      </c>
      <c r="K26" s="784" t="s">
        <v>1574</v>
      </c>
      <c r="L26" s="755" t="s">
        <v>2197</v>
      </c>
      <c r="M26" s="765">
        <f ca="1">INDIRECT("'数据-取费表'!I"&amp;$G$1)</f>
        <v>0.05</v>
      </c>
    </row>
    <row r="27" spans="1:33" ht="18" customHeight="1">
      <c r="A27" s="1529" t="s">
        <v>1625</v>
      </c>
      <c r="B27" s="755" t="s">
        <v>662</v>
      </c>
      <c r="C27" s="53">
        <f ca="1">ROUND(F21*F26,4)</f>
        <v>5.0000000000000001E-4</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64</v>
      </c>
      <c r="D30" s="1687" t="s">
        <v>1584</v>
      </c>
      <c r="E30" s="3461"/>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60</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f ca="1">ROUND(C6*F32/(1+'数据-取费表'!C42),1)</f>
        <v>19</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40.700000000000003</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3460"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3460"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3.6</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292</v>
      </c>
      <c r="D39" s="2348" t="s">
        <v>1599</v>
      </c>
      <c r="E39" s="2349"/>
      <c r="F39" s="2350"/>
      <c r="G39" s="1895"/>
      <c r="H39" s="1910"/>
      <c r="I39" s="807" t="s">
        <v>1611</v>
      </c>
      <c r="J39" s="815">
        <f ca="1">ROUND(J35/C39,3)</f>
        <v>0</v>
      </c>
      <c r="K39" s="1915"/>
      <c r="L39" s="1910"/>
      <c r="M39" s="1910"/>
    </row>
    <row r="40" spans="1:18" ht="18" customHeight="1">
      <c r="A40" s="752" t="s">
        <v>1682</v>
      </c>
      <c r="B40" s="2061" t="s">
        <v>2082</v>
      </c>
      <c r="C40" s="754">
        <f ca="1">ROUND(C39*(1-((1+F42)/(1+F40))^F41)/(F40-F42),0)</f>
        <v>7208</v>
      </c>
      <c r="D40" s="784" t="s">
        <v>1600</v>
      </c>
      <c r="E40" s="755" t="s">
        <v>2197</v>
      </c>
      <c r="F40" s="765">
        <f ca="1">INDIRECT("'数据-取费表'!I"&amp;$G$1)</f>
        <v>0.05</v>
      </c>
      <c r="G40" s="1895"/>
      <c r="H40" s="1895"/>
      <c r="I40" s="807" t="s">
        <v>1612</v>
      </c>
      <c r="J40" s="815">
        <f ca="1">1-J39</f>
        <v>1</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46.55</v>
      </c>
      <c r="G41" s="1895"/>
      <c r="H41" s="1850"/>
      <c r="I41" s="813" t="s">
        <v>1613</v>
      </c>
      <c r="J41" s="816"/>
      <c r="K41" s="1914"/>
      <c r="L41" s="1850"/>
      <c r="M41" s="1850"/>
    </row>
    <row r="42" spans="1:18" ht="18" customHeight="1">
      <c r="A42" s="761"/>
      <c r="B42" s="762"/>
      <c r="C42" s="763"/>
      <c r="D42" s="786"/>
      <c r="E42" s="755" t="s">
        <v>1602</v>
      </c>
      <c r="F42" s="765">
        <f ca="1">INDIRECT("'数据-取费表'!v"&amp;$G$1)</f>
        <v>0.02</v>
      </c>
      <c r="G42" s="1895"/>
      <c r="H42" s="1850"/>
      <c r="I42" s="817" t="s">
        <v>1614</v>
      </c>
      <c r="J42" s="815">
        <f ca="1">ROUND(C13/C40,3)</f>
        <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f ca="1">1-J42</f>
        <v>1</v>
      </c>
      <c r="K43" s="1914"/>
      <c r="L43" s="1850"/>
      <c r="M43" s="1850"/>
    </row>
    <row r="44" spans="1:18" s="1892" customFormat="1" ht="18" customHeight="1">
      <c r="A44" s="1917"/>
      <c r="B44" s="1917"/>
      <c r="C44" s="1934"/>
      <c r="D44" s="1917"/>
      <c r="E44" s="1917"/>
      <c r="F44" s="1917">
        <f ca="1">C40/F7</f>
        <v>4.1306590257879652</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-7208</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50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46.55</v>
      </c>
      <c r="M48" s="3194"/>
      <c r="O48" s="2202" t="s">
        <v>2157</v>
      </c>
      <c r="P48" s="2203" t="s">
        <v>2183</v>
      </c>
      <c r="Q48" s="2204">
        <f ca="1">C40+J29</f>
        <v>7208</v>
      </c>
      <c r="R48" s="2203" t="s">
        <v>2158</v>
      </c>
    </row>
    <row r="49" spans="1:18" s="1892" customFormat="1" ht="18" customHeight="1" thickBot="1">
      <c r="A49" s="757"/>
      <c r="B49" s="758"/>
      <c r="C49" s="759"/>
      <c r="D49" s="760"/>
      <c r="E49" s="755" t="s">
        <v>1532</v>
      </c>
      <c r="F49" s="756">
        <f ca="1">F7</f>
        <v>1745</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12</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6026</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46.55</v>
      </c>
      <c r="K53" s="3836" t="s">
        <v>2717</v>
      </c>
      <c r="L53" s="3837"/>
      <c r="M53" s="3194"/>
      <c r="O53" s="2205" t="s">
        <v>2166</v>
      </c>
      <c r="P53" s="2203" t="s">
        <v>2167</v>
      </c>
      <c r="Q53" s="2204">
        <f ca="1">J53</f>
        <v>46.55</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7208</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3460"/>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3462"/>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7208</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3460"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3460"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3460" t="s">
        <v>1596</v>
      </c>
      <c r="E63" s="755" t="s">
        <v>1540</v>
      </c>
      <c r="F63" s="787">
        <f t="shared" ca="1" si="0"/>
        <v>0.01</v>
      </c>
      <c r="I63" s="2766" t="s">
        <v>2148</v>
      </c>
      <c r="J63" s="2767">
        <v>70</v>
      </c>
      <c r="K63" s="2767">
        <v>50</v>
      </c>
      <c r="L63" s="2767">
        <v>80</v>
      </c>
      <c r="M63" s="2769">
        <v>0.02</v>
      </c>
      <c r="O63" s="2202" t="s">
        <v>2169</v>
      </c>
      <c r="P63" s="2203" t="s">
        <v>2186</v>
      </c>
      <c r="Q63" s="2204">
        <f ca="1">Q57+Q58</f>
        <v>7208</v>
      </c>
      <c r="R63" s="2207" t="s">
        <v>2170</v>
      </c>
    </row>
    <row r="64" spans="1:18" s="1892" customFormat="1" ht="16.5" thickBot="1">
      <c r="A64" s="1530" t="s">
        <v>1677</v>
      </c>
      <c r="B64" s="755" t="s">
        <v>655</v>
      </c>
      <c r="C64" s="53">
        <f ca="1">ROUND(C55*F64,1)</f>
        <v>0</v>
      </c>
      <c r="D64" s="3460"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3460"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3459" t="s">
        <v>676</v>
      </c>
      <c r="E66" s="3457"/>
      <c r="F66" s="790"/>
      <c r="K66" s="1918"/>
      <c r="O66" s="2202" t="s">
        <v>2157</v>
      </c>
      <c r="P66" s="2203" t="s">
        <v>2187</v>
      </c>
      <c r="Q66" s="2204">
        <f ca="1">C40+J29</f>
        <v>7208</v>
      </c>
      <c r="R66" s="2203" t="s">
        <v>2158</v>
      </c>
    </row>
    <row r="67" spans="1:18" s="1892" customFormat="1" ht="20.25" thickBot="1">
      <c r="A67" s="752" t="s">
        <v>1573</v>
      </c>
      <c r="B67" s="2061" t="s">
        <v>2082</v>
      </c>
      <c r="C67" s="754">
        <f ca="1">ROUND(C66*(1-((1+F69)/(1+F67))^F68)/(F67-F69),0)</f>
        <v>0</v>
      </c>
      <c r="D67" s="784" t="s">
        <v>680</v>
      </c>
      <c r="E67" s="755" t="s">
        <v>681</v>
      </c>
      <c r="F67" s="765">
        <f ca="1">F40</f>
        <v>0.05</v>
      </c>
      <c r="K67" s="1918"/>
      <c r="O67" s="2202" t="s">
        <v>2159</v>
      </c>
      <c r="P67" s="2203" t="s">
        <v>2190</v>
      </c>
      <c r="Q67" s="2204">
        <f ca="1">L60</f>
        <v>0</v>
      </c>
      <c r="R67" s="2207" t="s">
        <v>2192</v>
      </c>
    </row>
    <row r="68" spans="1:18" ht="21.75" thickBot="1">
      <c r="A68" s="757"/>
      <c r="B68" s="758"/>
      <c r="C68" s="759"/>
      <c r="D68" s="791" t="s">
        <v>1601</v>
      </c>
      <c r="E68" s="755" t="s">
        <v>1577</v>
      </c>
      <c r="F68" s="792">
        <f ca="1">F41</f>
        <v>46.55</v>
      </c>
      <c r="O68" s="2205" t="s">
        <v>2161</v>
      </c>
      <c r="P68" s="2203" t="s">
        <v>2191</v>
      </c>
      <c r="Q68" s="2209">
        <f ca="1">L51</f>
        <v>6026</v>
      </c>
      <c r="R68" s="2210" t="s">
        <v>2194</v>
      </c>
    </row>
    <row r="69" spans="1:18" ht="20.25" thickBot="1">
      <c r="A69" s="761"/>
      <c r="B69" s="762"/>
      <c r="C69" s="763"/>
      <c r="D69" s="786"/>
      <c r="E69" s="755" t="s">
        <v>686</v>
      </c>
      <c r="F69" s="2175"/>
      <c r="O69" s="2205" t="s">
        <v>2162</v>
      </c>
      <c r="P69" s="2211" t="s">
        <v>2176</v>
      </c>
      <c r="Q69" s="2204">
        <f ca="1">ROUND(Q70-Q71*Q72,0)</f>
        <v>292</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292</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7208</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38" t="s">
        <v>2819</v>
      </c>
      <c r="K2" s="3839"/>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40" t="s">
        <v>2829</v>
      </c>
      <c r="K3" s="3841"/>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40" t="s">
        <v>2831</v>
      </c>
      <c r="K4" s="3841"/>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42" t="s">
        <v>2835</v>
      </c>
      <c r="B6" s="3843"/>
      <c r="C6" s="3844"/>
      <c r="D6" s="3274"/>
      <c r="E6" s="3275"/>
      <c r="F6" s="3276"/>
      <c r="G6" s="3277"/>
      <c r="H6" s="3252"/>
      <c r="I6" s="3253"/>
      <c r="J6" s="3845">
        <v>1</v>
      </c>
      <c r="K6" s="3846"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45"/>
      <c r="K7" s="3847"/>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49" t="s">
        <v>2849</v>
      </c>
      <c r="C8" s="3850"/>
      <c r="D8" s="3293" t="s">
        <v>2850</v>
      </c>
      <c r="E8" s="3294" t="s">
        <v>2851</v>
      </c>
      <c r="F8" s="3295" t="s">
        <v>2852</v>
      </c>
      <c r="G8" s="3296"/>
      <c r="H8" s="3252"/>
      <c r="I8" s="3253"/>
      <c r="J8" s="3845"/>
      <c r="K8" s="3847"/>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49" t="s">
        <v>2855</v>
      </c>
      <c r="C9" s="3850"/>
      <c r="D9" s="3293">
        <f>ROUND(D6*E9,0)</f>
        <v>0</v>
      </c>
      <c r="E9" s="3297"/>
      <c r="F9" s="3298" t="s">
        <v>2856</v>
      </c>
      <c r="G9" s="3277"/>
      <c r="H9" s="3252"/>
      <c r="I9" s="3253"/>
      <c r="J9" s="3845"/>
      <c r="K9" s="3847"/>
      <c r="L9" s="3287" t="s">
        <v>2857</v>
      </c>
      <c r="M9" s="3288"/>
      <c r="N9" s="3264"/>
      <c r="O9" s="3289"/>
      <c r="P9" s="3289"/>
      <c r="Q9" s="3290">
        <v>365</v>
      </c>
      <c r="R9" s="3291">
        <f t="shared" si="0"/>
        <v>0</v>
      </c>
      <c r="S9" s="3247"/>
      <c r="T9" s="3247"/>
      <c r="U9" s="3247"/>
      <c r="V9" s="3253"/>
    </row>
    <row r="10" spans="1:22" s="3257" customFormat="1" ht="13.15" customHeight="1">
      <c r="A10" s="3292">
        <v>2</v>
      </c>
      <c r="B10" s="3849" t="s">
        <v>2858</v>
      </c>
      <c r="C10" s="3850"/>
      <c r="D10" s="3293">
        <f>ROUND(D6*E10,0)</f>
        <v>0</v>
      </c>
      <c r="E10" s="3297"/>
      <c r="F10" s="3298" t="s">
        <v>2859</v>
      </c>
      <c r="G10" s="3277"/>
      <c r="H10" s="3252"/>
      <c r="I10" s="3253"/>
      <c r="J10" s="3845"/>
      <c r="K10" s="3847"/>
      <c r="L10" s="3287" t="s">
        <v>2860</v>
      </c>
      <c r="M10" s="3288"/>
      <c r="N10" s="3264"/>
      <c r="O10" s="3289"/>
      <c r="P10" s="3289"/>
      <c r="Q10" s="3290">
        <v>365</v>
      </c>
      <c r="R10" s="3291">
        <f t="shared" si="0"/>
        <v>0</v>
      </c>
      <c r="S10" s="3247"/>
      <c r="T10" s="3247"/>
      <c r="U10" s="3247"/>
      <c r="V10" s="3253"/>
    </row>
    <row r="11" spans="1:22" s="3257" customFormat="1" ht="13.15" customHeight="1">
      <c r="A11" s="3292">
        <v>3</v>
      </c>
      <c r="B11" s="3849" t="s">
        <v>2861</v>
      </c>
      <c r="C11" s="3850"/>
      <c r="D11" s="3293">
        <f>D12+D14+D15+D16</f>
        <v>0</v>
      </c>
      <c r="E11" s="3299" t="e">
        <f>D11/D6</f>
        <v>#DIV/0!</v>
      </c>
      <c r="F11" s="3295"/>
      <c r="G11" s="3296"/>
      <c r="H11" s="3252"/>
      <c r="I11" s="3253"/>
      <c r="J11" s="3845"/>
      <c r="K11" s="3847"/>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51" t="s">
        <v>2864</v>
      </c>
      <c r="C12" s="3852"/>
      <c r="D12" s="3301">
        <f>ROUND(D13*1.2%*(1-30%),0)</f>
        <v>0</v>
      </c>
      <c r="E12" s="3302">
        <v>1.2E-2</v>
      </c>
      <c r="F12" s="3295" t="s">
        <v>2865</v>
      </c>
      <c r="G12" s="3296"/>
      <c r="H12" s="3252"/>
      <c r="I12" s="3253"/>
      <c r="J12" s="3845"/>
      <c r="K12" s="3847"/>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45"/>
      <c r="K13" s="3847"/>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51" t="s">
        <v>2870</v>
      </c>
      <c r="C14" s="3852"/>
      <c r="D14" s="3301">
        <f>ROUND(E14*B5/10000,0)</f>
        <v>0</v>
      </c>
      <c r="E14" s="3290"/>
      <c r="F14" s="3295" t="s">
        <v>2871</v>
      </c>
      <c r="G14" s="3296"/>
      <c r="H14" s="3252"/>
      <c r="I14" s="3253"/>
      <c r="J14" s="3845"/>
      <c r="K14" s="3848"/>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51" t="s">
        <v>2874</v>
      </c>
      <c r="C15" s="3852"/>
      <c r="D15" s="3301">
        <f>ROUND(D6*E15,0)</f>
        <v>0</v>
      </c>
      <c r="E15" s="3302">
        <v>5.5E-2</v>
      </c>
      <c r="F15" s="3295" t="s">
        <v>2875</v>
      </c>
      <c r="G15" s="3277"/>
      <c r="H15" s="3252"/>
      <c r="I15" s="3253"/>
      <c r="J15" s="3845">
        <v>2</v>
      </c>
      <c r="K15" s="3846"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51" t="s">
        <v>2883</v>
      </c>
      <c r="C16" s="3852"/>
      <c r="D16" s="3312">
        <f>D6*E16</f>
        <v>0</v>
      </c>
      <c r="E16" s="3313"/>
      <c r="F16" s="3298" t="s">
        <v>2884</v>
      </c>
      <c r="G16" s="3277"/>
      <c r="H16" s="3252"/>
      <c r="I16" s="3253"/>
      <c r="J16" s="3845"/>
      <c r="K16" s="3847"/>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53" t="s">
        <v>2886</v>
      </c>
      <c r="C17" s="3854"/>
      <c r="D17" s="3315">
        <f>ROUND(D6*E17,0)</f>
        <v>0</v>
      </c>
      <c r="E17" s="3316"/>
      <c r="F17" s="3317" t="s">
        <v>2887</v>
      </c>
      <c r="G17" s="3277"/>
      <c r="H17" s="3252"/>
      <c r="I17" s="3253"/>
      <c r="J17" s="3845"/>
      <c r="K17" s="3847"/>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45"/>
      <c r="K18" s="3847"/>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45"/>
      <c r="K19" s="3848"/>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45">
        <v>3</v>
      </c>
      <c r="K20" s="3846"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45"/>
      <c r="K21" s="3847"/>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45"/>
      <c r="K22" s="3847"/>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45"/>
      <c r="K23" s="3847"/>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45"/>
      <c r="K24" s="3848"/>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55">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56"/>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38" t="s">
        <v>2819</v>
      </c>
      <c r="K32" s="3839"/>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40" t="s">
        <v>2829</v>
      </c>
      <c r="K33" s="3841"/>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40" t="s">
        <v>2831</v>
      </c>
      <c r="K34" s="3841"/>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45">
        <v>1</v>
      </c>
      <c r="K36" s="3846"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45"/>
      <c r="K37" s="3847"/>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45"/>
      <c r="K38" s="3847"/>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45"/>
      <c r="K39" s="3847"/>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45"/>
      <c r="K40" s="3848"/>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55">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56"/>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73" t="s">
        <v>2241</v>
      </c>
      <c r="B1" s="3874"/>
      <c r="C1" s="3875"/>
      <c r="D1" s="3876">
        <f>SUM(I10,I15,I20,I21,I23)</f>
        <v>0</v>
      </c>
      <c r="E1" s="3876"/>
      <c r="F1" s="3876"/>
      <c r="G1" s="3876"/>
      <c r="H1" s="3876"/>
      <c r="I1" s="3877"/>
    </row>
    <row r="2" spans="1:9">
      <c r="A2" s="3863" t="s">
        <v>2242</v>
      </c>
      <c r="B2" s="3864" t="s">
        <v>2243</v>
      </c>
      <c r="C2" s="3864"/>
      <c r="D2" s="2307" t="s">
        <v>2244</v>
      </c>
      <c r="E2" s="2307" t="s">
        <v>2245</v>
      </c>
      <c r="F2" s="2307" t="s">
        <v>2246</v>
      </c>
      <c r="G2" s="2307" t="s">
        <v>2247</v>
      </c>
      <c r="H2" s="2307" t="s">
        <v>2248</v>
      </c>
      <c r="I2" s="2308" t="s">
        <v>2249</v>
      </c>
    </row>
    <row r="3" spans="1:9">
      <c r="A3" s="3863"/>
      <c r="B3" s="3864" t="s">
        <v>2250</v>
      </c>
      <c r="C3" s="3864"/>
      <c r="D3" s="2309"/>
      <c r="E3" s="2307"/>
      <c r="F3" s="2310"/>
      <c r="G3" s="2310"/>
      <c r="H3" s="2311"/>
      <c r="I3" s="2312">
        <f>ROUND(D3*E3*F3*G3*H3/10000,0)</f>
        <v>0</v>
      </c>
    </row>
    <row r="4" spans="1:9">
      <c r="A4" s="3863"/>
      <c r="B4" s="3864" t="s">
        <v>2251</v>
      </c>
      <c r="C4" s="3864"/>
      <c r="D4" s="2309"/>
      <c r="E4" s="2307"/>
      <c r="F4" s="2310"/>
      <c r="G4" s="2310"/>
      <c r="H4" s="2311"/>
      <c r="I4" s="2312">
        <f t="shared" ref="I4:I9" si="0">ROUND(D4*E4*F4*G4*H4/10000,0)</f>
        <v>0</v>
      </c>
    </row>
    <row r="5" spans="1:9">
      <c r="A5" s="3863"/>
      <c r="B5" s="3864" t="s">
        <v>2252</v>
      </c>
      <c r="C5" s="3864"/>
      <c r="D5" s="2309"/>
      <c r="E5" s="2307"/>
      <c r="F5" s="2310"/>
      <c r="G5" s="2310"/>
      <c r="H5" s="2311"/>
      <c r="I5" s="2312">
        <f t="shared" si="0"/>
        <v>0</v>
      </c>
    </row>
    <row r="6" spans="1:9">
      <c r="A6" s="3863"/>
      <c r="B6" s="3864" t="s">
        <v>2253</v>
      </c>
      <c r="C6" s="3864"/>
      <c r="D6" s="2309"/>
      <c r="E6" s="2307"/>
      <c r="F6" s="2310"/>
      <c r="G6" s="2310"/>
      <c r="H6" s="2311"/>
      <c r="I6" s="2312">
        <f t="shared" si="0"/>
        <v>0</v>
      </c>
    </row>
    <row r="7" spans="1:9">
      <c r="A7" s="3863"/>
      <c r="B7" s="3864" t="s">
        <v>2254</v>
      </c>
      <c r="C7" s="3864"/>
      <c r="D7" s="2309"/>
      <c r="E7" s="2307"/>
      <c r="F7" s="2310"/>
      <c r="G7" s="2310"/>
      <c r="H7" s="2311"/>
      <c r="I7" s="2312">
        <f t="shared" si="0"/>
        <v>0</v>
      </c>
    </row>
    <row r="8" spans="1:9">
      <c r="A8" s="3863"/>
      <c r="B8" s="3864" t="s">
        <v>2255</v>
      </c>
      <c r="C8" s="3864"/>
      <c r="D8" s="2309"/>
      <c r="E8" s="2307"/>
      <c r="F8" s="2310"/>
      <c r="G8" s="2310"/>
      <c r="H8" s="2311"/>
      <c r="I8" s="2312">
        <f t="shared" si="0"/>
        <v>0</v>
      </c>
    </row>
    <row r="9" spans="1:9">
      <c r="A9" s="3863"/>
      <c r="B9" s="3864" t="s">
        <v>2256</v>
      </c>
      <c r="C9" s="3864"/>
      <c r="D9" s="2309"/>
      <c r="E9" s="2307"/>
      <c r="F9" s="2310"/>
      <c r="G9" s="2310"/>
      <c r="H9" s="2311"/>
      <c r="I9" s="2312">
        <f t="shared" si="0"/>
        <v>0</v>
      </c>
    </row>
    <row r="10" spans="1:9">
      <c r="A10" s="3863"/>
      <c r="B10" s="3865" t="s">
        <v>2257</v>
      </c>
      <c r="C10" s="3865"/>
      <c r="D10" s="2313">
        <v>527</v>
      </c>
      <c r="E10" s="2313" t="e">
        <f>ROUND(D1*10000/D10/H9,0)</f>
        <v>#DIV/0!</v>
      </c>
      <c r="F10" s="2314"/>
      <c r="G10" s="2314"/>
      <c r="H10" s="2315"/>
      <c r="I10" s="2316">
        <f>SUM(I3:I9)</f>
        <v>0</v>
      </c>
    </row>
    <row r="11" spans="1:9" ht="14.25">
      <c r="A11" s="3863" t="s">
        <v>2258</v>
      </c>
      <c r="B11" s="3864" t="s">
        <v>2259</v>
      </c>
      <c r="C11" s="3864"/>
      <c r="D11" s="2309" t="s">
        <v>2260</v>
      </c>
      <c r="E11" s="2309" t="s">
        <v>2261</v>
      </c>
      <c r="F11" s="2310" t="s">
        <v>2262</v>
      </c>
      <c r="G11" s="2310" t="s">
        <v>2263</v>
      </c>
      <c r="H11" s="2317" t="s">
        <v>2264</v>
      </c>
      <c r="I11" s="2308" t="s">
        <v>2265</v>
      </c>
    </row>
    <row r="12" spans="1:9">
      <c r="A12" s="3863"/>
      <c r="B12" s="3864" t="s">
        <v>2266</v>
      </c>
      <c r="C12" s="3864"/>
      <c r="D12" s="2309"/>
      <c r="E12" s="2309"/>
      <c r="F12" s="2310"/>
      <c r="G12" s="2311"/>
      <c r="H12" s="2318"/>
      <c r="I12" s="2308">
        <f>ROUND(D12*E12*F12*G12/10000,0)</f>
        <v>0</v>
      </c>
    </row>
    <row r="13" spans="1:9">
      <c r="A13" s="3863"/>
      <c r="B13" s="3864" t="s">
        <v>2267</v>
      </c>
      <c r="C13" s="3864"/>
      <c r="D13" s="2309"/>
      <c r="E13" s="2309"/>
      <c r="F13" s="2310"/>
      <c r="G13" s="2311"/>
      <c r="H13" s="2318"/>
      <c r="I13" s="2308">
        <f>ROUND(D13*E13*F13*G13/10000,0)</f>
        <v>0</v>
      </c>
    </row>
    <row r="14" spans="1:9">
      <c r="A14" s="3863"/>
      <c r="B14" s="3864" t="s">
        <v>2268</v>
      </c>
      <c r="C14" s="3864"/>
      <c r="D14" s="2309"/>
      <c r="E14" s="2309"/>
      <c r="F14" s="2310"/>
      <c r="G14" s="2311"/>
      <c r="H14" s="2318"/>
      <c r="I14" s="2308">
        <f>ROUND(D14*E14*F14*G14/10000,0)</f>
        <v>0</v>
      </c>
    </row>
    <row r="15" spans="1:9">
      <c r="A15" s="3863"/>
      <c r="B15" s="3865" t="s">
        <v>2257</v>
      </c>
      <c r="C15" s="3865"/>
      <c r="D15" s="2313"/>
      <c r="E15" s="2313">
        <f>SUM(E12:E14)</f>
        <v>0</v>
      </c>
      <c r="F15" s="2314"/>
      <c r="G15" s="2311"/>
      <c r="H15" s="2318"/>
      <c r="I15" s="2319">
        <f>SUM(I12:I14)</f>
        <v>0</v>
      </c>
    </row>
    <row r="16" spans="1:9" ht="24">
      <c r="A16" s="3863" t="s">
        <v>2269</v>
      </c>
      <c r="B16" s="3864" t="s">
        <v>2270</v>
      </c>
      <c r="C16" s="3864"/>
      <c r="D16" s="2309" t="s">
        <v>2271</v>
      </c>
      <c r="E16" s="2320" t="s">
        <v>2272</v>
      </c>
      <c r="F16" s="2310" t="s">
        <v>2273</v>
      </c>
      <c r="G16" s="2311" t="s">
        <v>2263</v>
      </c>
      <c r="H16" s="2317" t="s">
        <v>2264</v>
      </c>
      <c r="I16" s="2308" t="s">
        <v>2265</v>
      </c>
    </row>
    <row r="17" spans="1:9" ht="14.25">
      <c r="A17" s="3863"/>
      <c r="B17" s="3864" t="s">
        <v>2274</v>
      </c>
      <c r="C17" s="3864"/>
      <c r="D17" s="2309"/>
      <c r="E17" s="2309"/>
      <c r="F17" s="2310"/>
      <c r="G17" s="2311"/>
      <c r="H17" s="2321"/>
      <c r="I17" s="2322">
        <f>ROUND(D17*E17*F17*G17/10000,0)</f>
        <v>0</v>
      </c>
    </row>
    <row r="18" spans="1:9" ht="14.25">
      <c r="A18" s="3863"/>
      <c r="B18" s="3864" t="s">
        <v>2275</v>
      </c>
      <c r="C18" s="3864"/>
      <c r="D18" s="2309"/>
      <c r="E18" s="2309"/>
      <c r="F18" s="2310"/>
      <c r="G18" s="2311"/>
      <c r="H18" s="2321"/>
      <c r="I18" s="2322">
        <f>ROUND(D18*E18*F18*G18/10000,0)</f>
        <v>0</v>
      </c>
    </row>
    <row r="19" spans="1:9" ht="14.25">
      <c r="A19" s="3863"/>
      <c r="B19" s="3864" t="s">
        <v>2276</v>
      </c>
      <c r="C19" s="3864"/>
      <c r="D19" s="2309"/>
      <c r="E19" s="2309"/>
      <c r="F19" s="2310"/>
      <c r="G19" s="2311"/>
      <c r="H19" s="2321"/>
      <c r="I19" s="2322">
        <f>ROUND(D19*E19*F19*G19/10000,0)</f>
        <v>0</v>
      </c>
    </row>
    <row r="20" spans="1:9">
      <c r="A20" s="3863"/>
      <c r="B20" s="3865" t="s">
        <v>2257</v>
      </c>
      <c r="C20" s="3865"/>
      <c r="D20" s="2313">
        <f>SUM(D17:D19)</f>
        <v>0</v>
      </c>
      <c r="E20" s="2313"/>
      <c r="F20" s="2314"/>
      <c r="G20" s="2311"/>
      <c r="H20" s="2318"/>
      <c r="I20" s="2319">
        <f>SUM(I17:I19)</f>
        <v>0</v>
      </c>
    </row>
    <row r="21" spans="1:9">
      <c r="A21" s="3863" t="s">
        <v>2277</v>
      </c>
      <c r="B21" s="3866"/>
      <c r="C21" s="3866"/>
      <c r="D21" s="3866"/>
      <c r="E21" s="3866"/>
      <c r="F21" s="3866"/>
      <c r="G21" s="3866"/>
      <c r="H21" s="2323">
        <v>0.1</v>
      </c>
      <c r="I21" s="2316">
        <f>ROUND(I10*H21,0)</f>
        <v>0</v>
      </c>
    </row>
    <row r="22" spans="1:9" ht="14.25">
      <c r="A22" s="3867" t="s">
        <v>2278</v>
      </c>
      <c r="B22" s="3868"/>
      <c r="C22" s="3869"/>
      <c r="D22" s="2324" t="s">
        <v>2279</v>
      </c>
      <c r="E22" s="2324" t="s">
        <v>2280</v>
      </c>
      <c r="F22" s="2325" t="s">
        <v>2281</v>
      </c>
      <c r="G22" s="2325" t="s">
        <v>2282</v>
      </c>
      <c r="H22" s="2317" t="s">
        <v>2283</v>
      </c>
      <c r="I22" s="2308" t="s">
        <v>2284</v>
      </c>
    </row>
    <row r="23" spans="1:9" ht="14.25" thickBot="1">
      <c r="A23" s="3870"/>
      <c r="B23" s="3871"/>
      <c r="C23" s="3872"/>
      <c r="D23" s="2326"/>
      <c r="E23" s="2326"/>
      <c r="F23" s="2326"/>
      <c r="G23" s="2327"/>
      <c r="H23" s="2328"/>
      <c r="I23" s="2329">
        <f>ROUND(E23*D23*F23*(1-G23)/10000,0)</f>
        <v>0</v>
      </c>
    </row>
    <row r="26" spans="1:9">
      <c r="A26" s="2330" t="s">
        <v>2285</v>
      </c>
      <c r="B26" s="2330"/>
      <c r="C26" s="2330"/>
      <c r="D26" s="2330"/>
      <c r="E26" s="3860">
        <f>C27-C30-C31-C32</f>
        <v>0</v>
      </c>
      <c r="F26" s="3860"/>
      <c r="G26" s="3860"/>
      <c r="H26" s="2698" t="s">
        <v>2608</v>
      </c>
    </row>
    <row r="27" spans="1:9">
      <c r="A27" s="2331">
        <v>1</v>
      </c>
      <c r="B27" s="2332" t="s">
        <v>2286</v>
      </c>
      <c r="C27" s="2332"/>
      <c r="D27" s="2332"/>
      <c r="E27" s="3861"/>
      <c r="F27" s="3861"/>
      <c r="G27" s="3861"/>
    </row>
    <row r="28" spans="1:9">
      <c r="A28" s="2333" t="s">
        <v>2287</v>
      </c>
      <c r="B28" s="2332" t="s">
        <v>2288</v>
      </c>
      <c r="C28" s="2332"/>
      <c r="D28" s="2332"/>
      <c r="E28" s="3861"/>
      <c r="F28" s="3861"/>
      <c r="G28" s="3861"/>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62"/>
      <c r="F32" s="3862"/>
      <c r="G32" s="3862"/>
    </row>
    <row r="33" spans="1:7" hidden="1">
      <c r="A33" s="3857" t="s">
        <v>2296</v>
      </c>
      <c r="B33" s="3858"/>
      <c r="C33" s="3858"/>
      <c r="D33" s="3859"/>
      <c r="E33" s="3860"/>
      <c r="F33" s="3860"/>
      <c r="G33" s="3860"/>
    </row>
    <row r="34" spans="1:7" hidden="1">
      <c r="A34" s="2335">
        <v>1</v>
      </c>
      <c r="B34" s="2332" t="s">
        <v>2297</v>
      </c>
      <c r="C34" s="2332"/>
      <c r="D34" s="2332"/>
      <c r="E34" s="3861"/>
      <c r="F34" s="3861"/>
      <c r="G34" s="3861"/>
    </row>
    <row r="35" spans="1:7" hidden="1">
      <c r="A35" s="2335">
        <v>2</v>
      </c>
      <c r="B35" s="2332" t="s">
        <v>2298</v>
      </c>
      <c r="C35" s="2332"/>
      <c r="D35" s="2332"/>
      <c r="E35" s="3861"/>
      <c r="F35" s="3861"/>
      <c r="G35" s="3861"/>
    </row>
    <row r="36" spans="1:7" hidden="1">
      <c r="A36" s="2335">
        <v>3</v>
      </c>
      <c r="B36" s="2332" t="s">
        <v>2299</v>
      </c>
      <c r="C36" s="2332"/>
      <c r="D36" s="2332"/>
      <c r="E36" s="3861"/>
      <c r="F36" s="3861"/>
      <c r="G36" s="3861"/>
    </row>
    <row r="37" spans="1:7" hidden="1">
      <c r="A37" s="2335">
        <v>4</v>
      </c>
      <c r="B37" s="2332" t="s">
        <v>2300</v>
      </c>
      <c r="C37" s="2332"/>
      <c r="D37" s="2332"/>
      <c r="E37" s="3861"/>
      <c r="F37" s="3861"/>
      <c r="G37" s="3861"/>
    </row>
    <row r="38" spans="1:7" hidden="1">
      <c r="A38" s="3857" t="s">
        <v>2301</v>
      </c>
      <c r="B38" s="3858"/>
      <c r="C38" s="3858"/>
      <c r="D38" s="3859"/>
      <c r="E38" s="3860"/>
      <c r="F38" s="3860"/>
      <c r="G38" s="38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607</v>
      </c>
      <c r="D12" s="3202">
        <f>'数据-汇总表'!E5</f>
        <v>86643.289999999964</v>
      </c>
      <c r="E12" s="3202">
        <f>'数据-取费表'!B27</f>
        <v>70</v>
      </c>
      <c r="F12" s="727"/>
      <c r="G12" s="730"/>
    </row>
    <row r="13" spans="1:25" s="2013" customFormat="1" ht="13.5" customHeight="1">
      <c r="A13" s="2278" t="s">
        <v>2218</v>
      </c>
      <c r="B13" s="728" t="s">
        <v>588</v>
      </c>
      <c r="C13" s="729">
        <f>ROUND(D13*E13/10000,0)</f>
        <v>48</v>
      </c>
      <c r="D13" s="3202">
        <f>'数据-汇总表'!E6</f>
        <v>6858.5899999999965</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43" t="s">
        <v>499</v>
      </c>
      <c r="D4" s="3744"/>
      <c r="E4" s="3769" t="s">
        <v>500</v>
      </c>
      <c r="F4" s="3770"/>
      <c r="G4" s="3743" t="s">
        <v>501</v>
      </c>
      <c r="H4" s="3744"/>
      <c r="I4" s="3743" t="s">
        <v>502</v>
      </c>
      <c r="J4" s="3744"/>
      <c r="K4" s="489"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51"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51"/>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51"/>
      <c r="AC6" s="3726"/>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27"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37" t="s">
        <v>517</v>
      </c>
      <c r="Q15" s="1460" t="str">
        <f t="shared" si="6"/>
        <v>商业繁华度</v>
      </c>
      <c r="R15" s="1461" t="s">
        <v>8</v>
      </c>
      <c r="S15" s="1462">
        <f t="shared" si="0"/>
        <v>100</v>
      </c>
      <c r="T15" s="1461" t="s">
        <v>8</v>
      </c>
      <c r="U15" s="1462">
        <f t="shared" si="1"/>
        <v>100</v>
      </c>
      <c r="V15" s="1461" t="s">
        <v>8</v>
      </c>
      <c r="W15" s="1462">
        <f t="shared" si="2"/>
        <v>100</v>
      </c>
      <c r="X15" s="1455"/>
      <c r="Y15" s="3737"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38"/>
      <c r="Q22" s="2375"/>
      <c r="R22" s="1461"/>
      <c r="S22" s="1462"/>
      <c r="T22" s="1461"/>
      <c r="U22" s="1462"/>
      <c r="V22" s="1461"/>
      <c r="W22" s="1462"/>
      <c r="X22" s="2377"/>
      <c r="Y22" s="3738"/>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38"/>
      <c r="Q23" s="1460" t="str">
        <f>B23</f>
        <v>自然及人文环境</v>
      </c>
      <c r="R23" s="1461" t="s">
        <v>8</v>
      </c>
      <c r="S23" s="1462">
        <f>F23</f>
        <v>100</v>
      </c>
      <c r="T23" s="1461" t="s">
        <v>8</v>
      </c>
      <c r="U23" s="1462">
        <f>H23</f>
        <v>100</v>
      </c>
      <c r="V23" s="1461" t="s">
        <v>8</v>
      </c>
      <c r="W23" s="1462">
        <f>J23</f>
        <v>100</v>
      </c>
      <c r="X23" s="1455"/>
      <c r="Y23" s="3738"/>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38"/>
      <c r="Q25" s="1460" t="str">
        <f t="shared" ref="Q25:Q46" si="11">B25</f>
        <v>临街状况</v>
      </c>
      <c r="R25" s="1461" t="s">
        <v>8</v>
      </c>
      <c r="S25" s="1462">
        <f>F25</f>
        <v>100</v>
      </c>
      <c r="T25" s="1461" t="s">
        <v>8</v>
      </c>
      <c r="U25" s="1462">
        <f>H25</f>
        <v>100</v>
      </c>
      <c r="V25" s="1461" t="s">
        <v>8</v>
      </c>
      <c r="W25" s="1462">
        <f>J25</f>
        <v>100</v>
      </c>
      <c r="X25" s="1455"/>
      <c r="Y25" s="3738"/>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38"/>
      <c r="Q26" s="1460" t="str">
        <f t="shared" si="11"/>
        <v>平面位置/可视性</v>
      </c>
      <c r="R26" s="1461" t="s">
        <v>8</v>
      </c>
      <c r="S26" s="1462">
        <f>F26</f>
        <v>100</v>
      </c>
      <c r="T26" s="1461" t="s">
        <v>8</v>
      </c>
      <c r="U26" s="1462">
        <f>H26</f>
        <v>100</v>
      </c>
      <c r="V26" s="1461" t="s">
        <v>8</v>
      </c>
      <c r="W26" s="1462">
        <f>J26</f>
        <v>100</v>
      </c>
      <c r="X26" s="1455"/>
      <c r="Y26" s="3738"/>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38"/>
      <c r="Q27" s="1096" t="str">
        <f t="shared" si="11"/>
        <v>人流量</v>
      </c>
      <c r="R27" s="1456" t="s">
        <v>8</v>
      </c>
      <c r="S27" s="1457">
        <f>F27</f>
        <v>100</v>
      </c>
      <c r="T27" s="1456" t="s">
        <v>8</v>
      </c>
      <c r="U27" s="1457">
        <f>H27</f>
        <v>100</v>
      </c>
      <c r="V27" s="1456" t="s">
        <v>8</v>
      </c>
      <c r="W27" s="1457">
        <f>J27</f>
        <v>100</v>
      </c>
      <c r="X27" s="1458"/>
      <c r="Y27" s="3738"/>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3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38"/>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38"/>
      <c r="Q29" s="1460">
        <f t="shared" si="11"/>
        <v>111</v>
      </c>
      <c r="R29" s="1461" t="s">
        <v>8</v>
      </c>
      <c r="S29" s="1462">
        <f t="shared" si="12"/>
        <v>100</v>
      </c>
      <c r="T29" s="1461" t="s">
        <v>8</v>
      </c>
      <c r="U29" s="1462">
        <f t="shared" si="13"/>
        <v>100</v>
      </c>
      <c r="V29" s="1461" t="s">
        <v>8</v>
      </c>
      <c r="W29" s="1462">
        <f t="shared" si="14"/>
        <v>100</v>
      </c>
      <c r="X29" s="1455"/>
      <c r="Y29" s="3738"/>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38"/>
      <c r="Q30" s="1460">
        <f t="shared" si="11"/>
        <v>111</v>
      </c>
      <c r="R30" s="1461" t="s">
        <v>8</v>
      </c>
      <c r="S30" s="1462">
        <f t="shared" si="12"/>
        <v>100</v>
      </c>
      <c r="T30" s="1461" t="s">
        <v>8</v>
      </c>
      <c r="U30" s="1462">
        <f t="shared" si="13"/>
        <v>100</v>
      </c>
      <c r="V30" s="1461" t="s">
        <v>8</v>
      </c>
      <c r="W30" s="1462">
        <f t="shared" si="14"/>
        <v>100</v>
      </c>
      <c r="X30" s="1455"/>
      <c r="Y30" s="3738"/>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38"/>
      <c r="Q31" s="1460">
        <f t="shared" si="11"/>
        <v>111</v>
      </c>
      <c r="R31" s="1461" t="s">
        <v>8</v>
      </c>
      <c r="S31" s="1462">
        <f t="shared" si="12"/>
        <v>100</v>
      </c>
      <c r="T31" s="1461" t="s">
        <v>8</v>
      </c>
      <c r="U31" s="1462">
        <f t="shared" si="13"/>
        <v>100</v>
      </c>
      <c r="V31" s="1461" t="s">
        <v>8</v>
      </c>
      <c r="W31" s="1462">
        <f t="shared" si="14"/>
        <v>100</v>
      </c>
      <c r="X31" s="1455"/>
      <c r="Y31" s="3738"/>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39" t="s">
        <v>527</v>
      </c>
      <c r="Q32" s="1460" t="str">
        <f t="shared" si="11"/>
        <v>商业类型</v>
      </c>
      <c r="R32" s="1461" t="s">
        <v>8</v>
      </c>
      <c r="S32" s="1462">
        <f t="shared" si="12"/>
        <v>100</v>
      </c>
      <c r="T32" s="1461" t="s">
        <v>8</v>
      </c>
      <c r="U32" s="1462">
        <f t="shared" si="13"/>
        <v>100</v>
      </c>
      <c r="V32" s="1461" t="s">
        <v>8</v>
      </c>
      <c r="W32" s="1462">
        <f t="shared" si="14"/>
        <v>100</v>
      </c>
      <c r="X32" s="1455"/>
      <c r="Y32" s="3740"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40"/>
      <c r="Q33" s="1489" t="str">
        <f t="shared" si="11"/>
        <v>项目建筑规模</v>
      </c>
      <c r="R33" s="1465" t="s">
        <v>8</v>
      </c>
      <c r="S33" s="1466" t="e">
        <f t="shared" si="12"/>
        <v>#N/A</v>
      </c>
      <c r="T33" s="1465" t="s">
        <v>8</v>
      </c>
      <c r="U33" s="1466" t="e">
        <f t="shared" si="13"/>
        <v>#N/A</v>
      </c>
      <c r="V33" s="1465" t="s">
        <v>8</v>
      </c>
      <c r="W33" s="1466" t="e">
        <f t="shared" si="14"/>
        <v>#N/A</v>
      </c>
      <c r="X33" s="1467"/>
      <c r="Y33" s="3740"/>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40"/>
      <c r="Q34" s="1460" t="str">
        <f t="shared" si="11"/>
        <v>建筑结构</v>
      </c>
      <c r="R34" s="1461" t="s">
        <v>8</v>
      </c>
      <c r="S34" s="1462">
        <f t="shared" si="12"/>
        <v>100</v>
      </c>
      <c r="T34" s="1461" t="s">
        <v>8</v>
      </c>
      <c r="U34" s="1462">
        <f t="shared" si="13"/>
        <v>100</v>
      </c>
      <c r="V34" s="1461" t="s">
        <v>8</v>
      </c>
      <c r="W34" s="1462">
        <f t="shared" si="14"/>
        <v>100</v>
      </c>
      <c r="X34" s="1455"/>
      <c r="Y34" s="3740"/>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40"/>
      <c r="Q35" s="1460" t="str">
        <f t="shared" si="11"/>
        <v>公共部分装修</v>
      </c>
      <c r="R35" s="1461" t="s">
        <v>8</v>
      </c>
      <c r="S35" s="1462">
        <f t="shared" si="12"/>
        <v>100</v>
      </c>
      <c r="T35" s="1461" t="s">
        <v>8</v>
      </c>
      <c r="U35" s="1462">
        <f t="shared" si="13"/>
        <v>100</v>
      </c>
      <c r="V35" s="1461" t="s">
        <v>8</v>
      </c>
      <c r="W35" s="1462">
        <f t="shared" si="14"/>
        <v>100</v>
      </c>
      <c r="X35" s="1455"/>
      <c r="Y35" s="3740"/>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40"/>
      <c r="Q36" s="1460" t="str">
        <f t="shared" si="11"/>
        <v>成新度</v>
      </c>
      <c r="R36" s="1461" t="s">
        <v>8</v>
      </c>
      <c r="S36" s="1462" t="e">
        <f t="shared" si="12"/>
        <v>#N/A</v>
      </c>
      <c r="T36" s="1461" t="s">
        <v>8</v>
      </c>
      <c r="U36" s="1462" t="e">
        <f t="shared" si="13"/>
        <v>#N/A</v>
      </c>
      <c r="V36" s="1461" t="s">
        <v>8</v>
      </c>
      <c r="W36" s="1462" t="e">
        <f t="shared" si="14"/>
        <v>#N/A</v>
      </c>
      <c r="X36" s="1455"/>
      <c r="Y36" s="3740"/>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40"/>
      <c r="Q37" s="1096" t="str">
        <f t="shared" si="11"/>
        <v>市政基础设施</v>
      </c>
      <c r="R37" s="1456" t="s">
        <v>8</v>
      </c>
      <c r="S37" s="1457">
        <f t="shared" si="12"/>
        <v>100</v>
      </c>
      <c r="T37" s="1456" t="s">
        <v>8</v>
      </c>
      <c r="U37" s="1457">
        <f t="shared" si="13"/>
        <v>100</v>
      </c>
      <c r="V37" s="1456" t="s">
        <v>8</v>
      </c>
      <c r="W37" s="1457">
        <f t="shared" si="14"/>
        <v>100</v>
      </c>
      <c r="X37" s="1458"/>
      <c r="Y37" s="3740"/>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40" t="s">
        <v>742</v>
      </c>
      <c r="Q38" s="1460" t="str">
        <f t="shared" si="11"/>
        <v>业态</v>
      </c>
      <c r="R38" s="1461" t="s">
        <v>8</v>
      </c>
      <c r="S38" s="1462">
        <f t="shared" si="12"/>
        <v>100</v>
      </c>
      <c r="T38" s="1461" t="s">
        <v>8</v>
      </c>
      <c r="U38" s="1462">
        <f t="shared" si="13"/>
        <v>100</v>
      </c>
      <c r="V38" s="1461" t="s">
        <v>8</v>
      </c>
      <c r="W38" s="1462">
        <f t="shared" si="14"/>
        <v>100</v>
      </c>
      <c r="X38" s="1455"/>
      <c r="Y38" s="3740"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40"/>
      <c r="Q39" s="1460" t="str">
        <f t="shared" si="11"/>
        <v>层高</v>
      </c>
      <c r="R39" s="1461" t="s">
        <v>8</v>
      </c>
      <c r="S39" s="1462">
        <f t="shared" si="12"/>
        <v>100</v>
      </c>
      <c r="T39" s="1461" t="s">
        <v>8</v>
      </c>
      <c r="U39" s="1462">
        <f t="shared" si="13"/>
        <v>100</v>
      </c>
      <c r="V39" s="1461" t="s">
        <v>8</v>
      </c>
      <c r="W39" s="1462">
        <f t="shared" si="14"/>
        <v>100</v>
      </c>
      <c r="X39" s="1455"/>
      <c r="Y39" s="3740"/>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40"/>
      <c r="Q40" s="1460" t="str">
        <f t="shared" si="11"/>
        <v>单套建筑面积</v>
      </c>
      <c r="R40" s="1461" t="s">
        <v>8</v>
      </c>
      <c r="S40" s="1462">
        <f t="shared" si="12"/>
        <v>100</v>
      </c>
      <c r="T40" s="1461" t="s">
        <v>8</v>
      </c>
      <c r="U40" s="1462">
        <f t="shared" si="13"/>
        <v>100</v>
      </c>
      <c r="V40" s="1461" t="s">
        <v>8</v>
      </c>
      <c r="W40" s="1462">
        <f t="shared" si="14"/>
        <v>100</v>
      </c>
      <c r="X40" s="1455"/>
      <c r="Y40" s="3740"/>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40"/>
      <c r="Q41" s="1489" t="str">
        <f t="shared" si="11"/>
        <v>进深比</v>
      </c>
      <c r="R41" s="1465" t="s">
        <v>8</v>
      </c>
      <c r="S41" s="1466">
        <f t="shared" si="12"/>
        <v>100</v>
      </c>
      <c r="T41" s="1465" t="s">
        <v>8</v>
      </c>
      <c r="U41" s="1466">
        <f t="shared" si="13"/>
        <v>100</v>
      </c>
      <c r="V41" s="1465" t="s">
        <v>8</v>
      </c>
      <c r="W41" s="1466">
        <f t="shared" si="14"/>
        <v>100</v>
      </c>
      <c r="X41" s="1467"/>
      <c r="Y41" s="3740"/>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40"/>
      <c r="Q42" s="1460" t="str">
        <f t="shared" si="11"/>
        <v>内部装修</v>
      </c>
      <c r="R42" s="1461" t="s">
        <v>8</v>
      </c>
      <c r="S42" s="1462">
        <f t="shared" si="12"/>
        <v>100</v>
      </c>
      <c r="T42" s="1461" t="s">
        <v>8</v>
      </c>
      <c r="U42" s="1462">
        <f t="shared" si="13"/>
        <v>100</v>
      </c>
      <c r="V42" s="1461" t="s">
        <v>8</v>
      </c>
      <c r="W42" s="1462">
        <f t="shared" si="14"/>
        <v>100</v>
      </c>
      <c r="X42" s="1455"/>
      <c r="Y42" s="3740"/>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40"/>
      <c r="Q43" s="1460" t="str">
        <f t="shared" si="11"/>
        <v>内部装修维护情况</v>
      </c>
      <c r="R43" s="1461" t="s">
        <v>8</v>
      </c>
      <c r="S43" s="1462">
        <f t="shared" si="12"/>
        <v>100</v>
      </c>
      <c r="T43" s="1461" t="s">
        <v>8</v>
      </c>
      <c r="U43" s="1462">
        <f t="shared" si="13"/>
        <v>100</v>
      </c>
      <c r="V43" s="1461" t="s">
        <v>8</v>
      </c>
      <c r="W43" s="1462">
        <f t="shared" si="14"/>
        <v>100</v>
      </c>
      <c r="X43" s="1455"/>
      <c r="Y43" s="3740"/>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40"/>
      <c r="Q44" s="1096">
        <f t="shared" si="11"/>
        <v>111</v>
      </c>
      <c r="R44" s="1456" t="s">
        <v>8</v>
      </c>
      <c r="S44" s="1457">
        <f t="shared" si="12"/>
        <v>100</v>
      </c>
      <c r="T44" s="1456" t="s">
        <v>8</v>
      </c>
      <c r="U44" s="1457">
        <f t="shared" si="13"/>
        <v>100</v>
      </c>
      <c r="V44" s="1456" t="s">
        <v>8</v>
      </c>
      <c r="W44" s="1457">
        <f t="shared" si="14"/>
        <v>100</v>
      </c>
      <c r="X44" s="1458"/>
      <c r="Y44" s="3740"/>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40"/>
      <c r="Q45" s="1460">
        <f t="shared" si="11"/>
        <v>111</v>
      </c>
      <c r="R45" s="1461" t="s">
        <v>8</v>
      </c>
      <c r="S45" s="1462">
        <f t="shared" si="12"/>
        <v>100</v>
      </c>
      <c r="T45" s="1461" t="s">
        <v>8</v>
      </c>
      <c r="U45" s="1462">
        <f t="shared" si="13"/>
        <v>100</v>
      </c>
      <c r="V45" s="1461" t="s">
        <v>8</v>
      </c>
      <c r="W45" s="1462">
        <f t="shared" si="14"/>
        <v>100</v>
      </c>
      <c r="X45" s="1455"/>
      <c r="Y45" s="3740"/>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5"/>
      <c r="Q46" s="1460">
        <f t="shared" si="11"/>
        <v>111</v>
      </c>
      <c r="R46" s="1461" t="s">
        <v>8</v>
      </c>
      <c r="S46" s="1462">
        <f t="shared" si="12"/>
        <v>100</v>
      </c>
      <c r="T46" s="1461" t="s">
        <v>8</v>
      </c>
      <c r="U46" s="1462">
        <f t="shared" si="13"/>
        <v>100</v>
      </c>
      <c r="V46" s="1461" t="s">
        <v>8</v>
      </c>
      <c r="W46" s="1462">
        <f t="shared" si="14"/>
        <v>100</v>
      </c>
      <c r="X46" s="1455"/>
      <c r="Y46" s="3835"/>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35" t="str">
        <f>A47</f>
        <v>成交单价（元/平方米）</v>
      </c>
      <c r="Q47" s="3735"/>
      <c r="R47" s="3834">
        <f>E47</f>
        <v>0</v>
      </c>
      <c r="S47" s="3834"/>
      <c r="T47" s="3834">
        <f>G47</f>
        <v>0</v>
      </c>
      <c r="U47" s="3834"/>
      <c r="V47" s="3834">
        <f>I47</f>
        <v>0</v>
      </c>
      <c r="W47" s="3834"/>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35" t="str">
        <f>A48</f>
        <v>比较价格（元/平方米）</v>
      </c>
      <c r="Q48" s="3735"/>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41" t="str">
        <f>A49</f>
        <v>估价对象XX用房的比较价格（楼面单价，元/平方米）</v>
      </c>
      <c r="Q49" s="3742"/>
      <c r="R49" s="3833" t="e">
        <f>IF(F1="售价",ROUND(IF(D48="简单平均",AVERAGE(R48:V48),R48*F48+T48*H48+V48*J48),0),ROUND(IF(D48="简单平均",AVERAGE(R48:V48),R48*F48+T48*H48+V48*J48),1))</f>
        <v>#DIV/0!</v>
      </c>
      <c r="S49" s="3833"/>
      <c r="T49" s="3833"/>
      <c r="U49" s="3833"/>
      <c r="V49" s="3833"/>
      <c r="W49" s="3833"/>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根据《国有土地使用证》[]，估价对象（分摊）出让国有建设用地使用权面积为48722.92平方米。根据《建设工程规划许可证》[]、《出让合同》[]，估价对象规划建筑面积为93501.88平方米。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43" t="s">
        <v>499</v>
      </c>
      <c r="D4" s="3744"/>
      <c r="E4" s="3769" t="s">
        <v>500</v>
      </c>
      <c r="F4" s="3770"/>
      <c r="G4" s="3743" t="s">
        <v>501</v>
      </c>
      <c r="H4" s="3744"/>
      <c r="I4" s="3743" t="s">
        <v>502</v>
      </c>
      <c r="J4" s="3744"/>
      <c r="K4" s="489" t="s">
        <v>503</v>
      </c>
      <c r="L4" s="1964"/>
      <c r="M4" s="1965"/>
      <c r="N4" s="1965"/>
      <c r="O4" s="1965"/>
      <c r="P4" s="3878" t="s">
        <v>504</v>
      </c>
      <c r="Q4" s="3746"/>
      <c r="R4" s="3729" t="s">
        <v>500</v>
      </c>
      <c r="S4" s="3730"/>
      <c r="T4" s="3729" t="s">
        <v>501</v>
      </c>
      <c r="U4" s="3730"/>
      <c r="V4" s="3751" t="s">
        <v>502</v>
      </c>
      <c r="W4" s="3751"/>
      <c r="X4" s="1455"/>
      <c r="Y4" s="3729" t="s">
        <v>504</v>
      </c>
      <c r="Z4" s="3730"/>
      <c r="AA4" s="3724" t="s">
        <v>500</v>
      </c>
      <c r="AB4" s="3724"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879"/>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880"/>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36"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36" t="s">
        <v>510</v>
      </c>
      <c r="Q8" s="3728"/>
      <c r="R8" s="1456" t="s">
        <v>8</v>
      </c>
      <c r="S8" s="1457">
        <f t="shared" si="0"/>
        <v>0</v>
      </c>
      <c r="T8" s="1456" t="s">
        <v>8</v>
      </c>
      <c r="U8" s="1457">
        <f t="shared" si="1"/>
        <v>0</v>
      </c>
      <c r="V8" s="1456" t="s">
        <v>8</v>
      </c>
      <c r="W8" s="1457">
        <f t="shared" si="2"/>
        <v>0</v>
      </c>
      <c r="X8" s="1458"/>
      <c r="Y8" s="3727" t="s">
        <v>510</v>
      </c>
      <c r="Z8" s="3728"/>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37" t="s">
        <v>517</v>
      </c>
      <c r="Q15" s="1460" t="str">
        <f t="shared" si="6"/>
        <v>办公集聚程度</v>
      </c>
      <c r="R15" s="1461" t="s">
        <v>8</v>
      </c>
      <c r="S15" s="1462">
        <f t="shared" si="0"/>
        <v>100</v>
      </c>
      <c r="T15" s="1461" t="s">
        <v>8</v>
      </c>
      <c r="U15" s="1462">
        <f t="shared" si="1"/>
        <v>100</v>
      </c>
      <c r="V15" s="1461" t="s">
        <v>8</v>
      </c>
      <c r="W15" s="1462">
        <f t="shared" si="2"/>
        <v>100</v>
      </c>
      <c r="X15" s="1455"/>
      <c r="Y15" s="3737"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38"/>
      <c r="Q16" s="1460"/>
      <c r="R16" s="1461"/>
      <c r="S16" s="1462"/>
      <c r="T16" s="1461"/>
      <c r="U16" s="1462"/>
      <c r="V16" s="1461"/>
      <c r="W16" s="1462"/>
      <c r="X16" s="1455"/>
      <c r="Y16" s="3738"/>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38"/>
      <c r="Q18" s="1460"/>
      <c r="R18" s="1461"/>
      <c r="S18" s="1462"/>
      <c r="T18" s="1461"/>
      <c r="U18" s="1462"/>
      <c r="V18" s="1461"/>
      <c r="W18" s="1462"/>
      <c r="X18" s="1455"/>
      <c r="Y18" s="3738"/>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38"/>
      <c r="Q20" s="1460"/>
      <c r="R20" s="1461"/>
      <c r="S20" s="1462"/>
      <c r="T20" s="1461"/>
      <c r="U20" s="1462"/>
      <c r="V20" s="1461"/>
      <c r="W20" s="1462"/>
      <c r="X20" s="1455"/>
      <c r="Y20" s="3738"/>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38"/>
      <c r="Q22" s="2375"/>
      <c r="R22" s="1461"/>
      <c r="S22" s="1462"/>
      <c r="T22" s="1461"/>
      <c r="U22" s="1462"/>
      <c r="V22" s="1461"/>
      <c r="W22" s="1462"/>
      <c r="X22" s="2377"/>
      <c r="Y22" s="3738"/>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38"/>
      <c r="Q23" s="1460" t="str">
        <f>B23</f>
        <v>环境质量</v>
      </c>
      <c r="R23" s="1461" t="s">
        <v>8</v>
      </c>
      <c r="S23" s="1462">
        <f>F23</f>
        <v>100</v>
      </c>
      <c r="T23" s="1461" t="s">
        <v>8</v>
      </c>
      <c r="U23" s="1462">
        <f>H23</f>
        <v>100</v>
      </c>
      <c r="V23" s="1461" t="s">
        <v>8</v>
      </c>
      <c r="W23" s="1462">
        <f>J23</f>
        <v>100</v>
      </c>
      <c r="X23" s="1455"/>
      <c r="Y23" s="3738"/>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38"/>
      <c r="Q24" s="1460"/>
      <c r="R24" s="1461"/>
      <c r="S24" s="1462"/>
      <c r="T24" s="1461"/>
      <c r="U24" s="1462"/>
      <c r="V24" s="1461"/>
      <c r="W24" s="1462"/>
      <c r="X24" s="1455"/>
      <c r="Y24" s="3738"/>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38"/>
      <c r="Q25" s="1460" t="str">
        <f>B25</f>
        <v>毗邻道路的类型与等级</v>
      </c>
      <c r="R25" s="1461" t="s">
        <v>8</v>
      </c>
      <c r="S25" s="1462">
        <f>F25</f>
        <v>100</v>
      </c>
      <c r="T25" s="1461" t="s">
        <v>8</v>
      </c>
      <c r="U25" s="1462">
        <f>H25</f>
        <v>100</v>
      </c>
      <c r="V25" s="1461" t="s">
        <v>8</v>
      </c>
      <c r="W25" s="1462">
        <f>J25</f>
        <v>100</v>
      </c>
      <c r="X25" s="1455"/>
      <c r="Y25" s="3738"/>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38"/>
      <c r="Q26" s="1460"/>
      <c r="R26" s="1461"/>
      <c r="S26" s="1462"/>
      <c r="T26" s="1461"/>
      <c r="U26" s="1462"/>
      <c r="V26" s="1461"/>
      <c r="W26" s="1462"/>
      <c r="X26" s="1455"/>
      <c r="Y26" s="3738"/>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38"/>
      <c r="Q27" s="1460" t="str">
        <f t="shared" ref="Q27:Q47" si="11">B27</f>
        <v>楼层</v>
      </c>
      <c r="R27" s="1461" t="s">
        <v>8</v>
      </c>
      <c r="S27" s="1462">
        <f>F27</f>
        <v>100</v>
      </c>
      <c r="T27" s="1461" t="s">
        <v>8</v>
      </c>
      <c r="U27" s="1462">
        <f>H27</f>
        <v>100</v>
      </c>
      <c r="V27" s="1461" t="s">
        <v>8</v>
      </c>
      <c r="W27" s="1462">
        <f>J27</f>
        <v>100</v>
      </c>
      <c r="X27" s="1455"/>
      <c r="Y27" s="3738"/>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38"/>
      <c r="Q28" s="1096" t="str">
        <f t="shared" si="11"/>
        <v>朝向</v>
      </c>
      <c r="R28" s="1456" t="s">
        <v>8</v>
      </c>
      <c r="S28" s="1457">
        <f>F28</f>
        <v>100</v>
      </c>
      <c r="T28" s="1456" t="s">
        <v>8</v>
      </c>
      <c r="U28" s="1457">
        <f>H28</f>
        <v>100</v>
      </c>
      <c r="V28" s="1456" t="s">
        <v>8</v>
      </c>
      <c r="W28" s="1457">
        <f>J28</f>
        <v>100</v>
      </c>
      <c r="X28" s="1458"/>
      <c r="Y28" s="3738"/>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38"/>
      <c r="Q29" s="1460">
        <f t="shared" si="11"/>
        <v>111</v>
      </c>
      <c r="R29" s="1461" t="s">
        <v>8</v>
      </c>
      <c r="S29" s="1462">
        <f t="shared" ref="S29:S47" si="12">F29</f>
        <v>100</v>
      </c>
      <c r="T29" s="1461" t="s">
        <v>8</v>
      </c>
      <c r="U29" s="1462">
        <f t="shared" ref="U29:U47" si="13">H29</f>
        <v>100</v>
      </c>
      <c r="V29" s="1461" t="s">
        <v>8</v>
      </c>
      <c r="W29" s="1462">
        <f t="shared" ref="W29:W47" si="14">J29</f>
        <v>100</v>
      </c>
      <c r="X29" s="1455"/>
      <c r="Y29" s="3738"/>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38"/>
      <c r="Q30" s="1460">
        <f t="shared" si="11"/>
        <v>111</v>
      </c>
      <c r="R30" s="1461" t="s">
        <v>8</v>
      </c>
      <c r="S30" s="1462">
        <f t="shared" si="12"/>
        <v>100</v>
      </c>
      <c r="T30" s="1461" t="s">
        <v>8</v>
      </c>
      <c r="U30" s="1462">
        <f t="shared" si="13"/>
        <v>100</v>
      </c>
      <c r="V30" s="1461" t="s">
        <v>8</v>
      </c>
      <c r="W30" s="1462">
        <f t="shared" si="14"/>
        <v>100</v>
      </c>
      <c r="X30" s="1455"/>
      <c r="Y30" s="3738"/>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38"/>
      <c r="Q31" s="1460">
        <f t="shared" si="11"/>
        <v>111</v>
      </c>
      <c r="R31" s="1461" t="s">
        <v>8</v>
      </c>
      <c r="S31" s="1462">
        <f t="shared" si="12"/>
        <v>100</v>
      </c>
      <c r="T31" s="1461" t="s">
        <v>8</v>
      </c>
      <c r="U31" s="1462">
        <f t="shared" si="13"/>
        <v>100</v>
      </c>
      <c r="V31" s="1461" t="s">
        <v>8</v>
      </c>
      <c r="W31" s="1462">
        <f t="shared" si="14"/>
        <v>100</v>
      </c>
      <c r="X31" s="1455"/>
      <c r="Y31" s="3738"/>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38"/>
      <c r="Q32" s="1460">
        <f t="shared" si="11"/>
        <v>111</v>
      </c>
      <c r="R32" s="1461" t="s">
        <v>8</v>
      </c>
      <c r="S32" s="1462">
        <f t="shared" si="12"/>
        <v>100</v>
      </c>
      <c r="T32" s="1461" t="s">
        <v>8</v>
      </c>
      <c r="U32" s="1462">
        <f t="shared" si="13"/>
        <v>100</v>
      </c>
      <c r="V32" s="1461" t="s">
        <v>8</v>
      </c>
      <c r="W32" s="1462">
        <f t="shared" si="14"/>
        <v>100</v>
      </c>
      <c r="X32" s="1455"/>
      <c r="Y32" s="3738"/>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39" t="s">
        <v>527</v>
      </c>
      <c r="Q33" s="1460" t="str">
        <f t="shared" si="11"/>
        <v>建筑类型</v>
      </c>
      <c r="R33" s="1461" t="s">
        <v>8</v>
      </c>
      <c r="S33" s="1462">
        <f t="shared" si="12"/>
        <v>100</v>
      </c>
      <c r="T33" s="1461" t="s">
        <v>8</v>
      </c>
      <c r="U33" s="1462">
        <f t="shared" si="13"/>
        <v>100</v>
      </c>
      <c r="V33" s="1461" t="s">
        <v>8</v>
      </c>
      <c r="W33" s="1462">
        <f t="shared" si="14"/>
        <v>100</v>
      </c>
      <c r="X33" s="1455"/>
      <c r="Y33" s="3740"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40"/>
      <c r="Q34" s="1489" t="str">
        <f t="shared" si="11"/>
        <v>项目建筑规模</v>
      </c>
      <c r="R34" s="1465" t="s">
        <v>8</v>
      </c>
      <c r="S34" s="1466" t="e">
        <f t="shared" si="12"/>
        <v>#N/A</v>
      </c>
      <c r="T34" s="1465" t="s">
        <v>8</v>
      </c>
      <c r="U34" s="1466" t="e">
        <f t="shared" si="13"/>
        <v>#N/A</v>
      </c>
      <c r="V34" s="1465" t="s">
        <v>8</v>
      </c>
      <c r="W34" s="1466" t="e">
        <f t="shared" si="14"/>
        <v>#N/A</v>
      </c>
      <c r="X34" s="1467"/>
      <c r="Y34" s="3740"/>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40"/>
      <c r="Q35" s="1460" t="str">
        <f t="shared" si="11"/>
        <v>建筑结构</v>
      </c>
      <c r="R35" s="1461" t="s">
        <v>8</v>
      </c>
      <c r="S35" s="1462">
        <f t="shared" si="12"/>
        <v>100</v>
      </c>
      <c r="T35" s="1461" t="s">
        <v>8</v>
      </c>
      <c r="U35" s="1462">
        <f t="shared" si="13"/>
        <v>100</v>
      </c>
      <c r="V35" s="1461" t="s">
        <v>8</v>
      </c>
      <c r="W35" s="1462">
        <f t="shared" si="14"/>
        <v>100</v>
      </c>
      <c r="X35" s="1455"/>
      <c r="Y35" s="3740"/>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40"/>
      <c r="Q36" s="1460" t="str">
        <f t="shared" si="11"/>
        <v>公共部分装修</v>
      </c>
      <c r="R36" s="1461" t="s">
        <v>8</v>
      </c>
      <c r="S36" s="1462">
        <f t="shared" si="12"/>
        <v>100</v>
      </c>
      <c r="T36" s="1461" t="s">
        <v>8</v>
      </c>
      <c r="U36" s="1462">
        <f t="shared" si="13"/>
        <v>100</v>
      </c>
      <c r="V36" s="1461" t="s">
        <v>8</v>
      </c>
      <c r="W36" s="1462">
        <f t="shared" si="14"/>
        <v>100</v>
      </c>
      <c r="X36" s="1455"/>
      <c r="Y36" s="3740"/>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40"/>
      <c r="Q37" s="1460" t="str">
        <f t="shared" si="11"/>
        <v>成新度</v>
      </c>
      <c r="R37" s="1461" t="s">
        <v>8</v>
      </c>
      <c r="S37" s="1462" t="e">
        <f t="shared" si="12"/>
        <v>#N/A</v>
      </c>
      <c r="T37" s="1461" t="s">
        <v>8</v>
      </c>
      <c r="U37" s="1462" t="e">
        <f t="shared" si="13"/>
        <v>#N/A</v>
      </c>
      <c r="V37" s="1461" t="s">
        <v>8</v>
      </c>
      <c r="W37" s="1462" t="e">
        <f t="shared" si="14"/>
        <v>#N/A</v>
      </c>
      <c r="X37" s="1455"/>
      <c r="Y37" s="3740"/>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40"/>
      <c r="Q38" s="1096" t="str">
        <f t="shared" si="11"/>
        <v>写字楼等级</v>
      </c>
      <c r="R38" s="1456" t="s">
        <v>8</v>
      </c>
      <c r="S38" s="1457">
        <f t="shared" si="12"/>
        <v>100</v>
      </c>
      <c r="T38" s="1456" t="s">
        <v>8</v>
      </c>
      <c r="U38" s="1457">
        <f t="shared" si="13"/>
        <v>100</v>
      </c>
      <c r="V38" s="1456" t="s">
        <v>8</v>
      </c>
      <c r="W38" s="1457">
        <f t="shared" si="14"/>
        <v>100</v>
      </c>
      <c r="X38" s="1458"/>
      <c r="Y38" s="3740"/>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40" t="s">
        <v>527</v>
      </c>
      <c r="Q39" s="1460" t="str">
        <f t="shared" si="11"/>
        <v>物业管理</v>
      </c>
      <c r="R39" s="1461" t="s">
        <v>8</v>
      </c>
      <c r="S39" s="1462">
        <f t="shared" si="12"/>
        <v>100</v>
      </c>
      <c r="T39" s="1461" t="s">
        <v>8</v>
      </c>
      <c r="U39" s="1462">
        <f t="shared" si="13"/>
        <v>100</v>
      </c>
      <c r="V39" s="1461" t="s">
        <v>8</v>
      </c>
      <c r="W39" s="1462">
        <f t="shared" si="14"/>
        <v>100</v>
      </c>
      <c r="X39" s="1455"/>
      <c r="Y39" s="3740"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40"/>
      <c r="Q40" s="1460" t="str">
        <f t="shared" si="11"/>
        <v>市政基础设施</v>
      </c>
      <c r="R40" s="1461" t="s">
        <v>8</v>
      </c>
      <c r="S40" s="1462">
        <f t="shared" si="12"/>
        <v>100</v>
      </c>
      <c r="T40" s="1461" t="s">
        <v>8</v>
      </c>
      <c r="U40" s="1462">
        <f t="shared" si="13"/>
        <v>100</v>
      </c>
      <c r="V40" s="1461" t="s">
        <v>8</v>
      </c>
      <c r="W40" s="1462">
        <f t="shared" si="14"/>
        <v>100</v>
      </c>
      <c r="X40" s="1455"/>
      <c r="Y40" s="3740"/>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40"/>
      <c r="Q41" s="1460" t="str">
        <f t="shared" si="11"/>
        <v>层高</v>
      </c>
      <c r="R41" s="1461" t="s">
        <v>8</v>
      </c>
      <c r="S41" s="1462">
        <f t="shared" si="12"/>
        <v>100</v>
      </c>
      <c r="T41" s="1461" t="s">
        <v>8</v>
      </c>
      <c r="U41" s="1462">
        <f t="shared" si="13"/>
        <v>100</v>
      </c>
      <c r="V41" s="1461" t="s">
        <v>8</v>
      </c>
      <c r="W41" s="1462">
        <f t="shared" si="14"/>
        <v>100</v>
      </c>
      <c r="X41" s="1455"/>
      <c r="Y41" s="3740"/>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40"/>
      <c r="Q42" s="1489" t="str">
        <f t="shared" si="11"/>
        <v>单套建筑面积</v>
      </c>
      <c r="R42" s="1465" t="s">
        <v>8</v>
      </c>
      <c r="S42" s="1466">
        <f t="shared" si="12"/>
        <v>100</v>
      </c>
      <c r="T42" s="1465" t="s">
        <v>8</v>
      </c>
      <c r="U42" s="1466">
        <f t="shared" si="13"/>
        <v>100</v>
      </c>
      <c r="V42" s="1465" t="s">
        <v>8</v>
      </c>
      <c r="W42" s="1466">
        <f t="shared" si="14"/>
        <v>100</v>
      </c>
      <c r="X42" s="1467"/>
      <c r="Y42" s="3740"/>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40"/>
      <c r="Q43" s="1460" t="str">
        <f t="shared" si="11"/>
        <v>内部装修</v>
      </c>
      <c r="R43" s="1461" t="s">
        <v>8</v>
      </c>
      <c r="S43" s="1462">
        <f t="shared" si="12"/>
        <v>100</v>
      </c>
      <c r="T43" s="1461" t="s">
        <v>8</v>
      </c>
      <c r="U43" s="1462">
        <f t="shared" si="13"/>
        <v>100</v>
      </c>
      <c r="V43" s="1461" t="s">
        <v>8</v>
      </c>
      <c r="W43" s="1462">
        <f t="shared" si="14"/>
        <v>100</v>
      </c>
      <c r="X43" s="1455"/>
      <c r="Y43" s="3740"/>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40"/>
      <c r="Q44" s="1460" t="str">
        <f t="shared" si="11"/>
        <v>内部装修维护情况</v>
      </c>
      <c r="R44" s="1461" t="s">
        <v>8</v>
      </c>
      <c r="S44" s="1462">
        <f t="shared" si="12"/>
        <v>100</v>
      </c>
      <c r="T44" s="1461" t="s">
        <v>8</v>
      </c>
      <c r="U44" s="1462">
        <f t="shared" si="13"/>
        <v>100</v>
      </c>
      <c r="V44" s="1461" t="s">
        <v>8</v>
      </c>
      <c r="W44" s="1462">
        <f t="shared" si="14"/>
        <v>100</v>
      </c>
      <c r="X44" s="1455"/>
      <c r="Y44" s="3740"/>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40"/>
      <c r="Q45" s="1096">
        <f t="shared" si="11"/>
        <v>111</v>
      </c>
      <c r="R45" s="1456" t="s">
        <v>8</v>
      </c>
      <c r="S45" s="1457">
        <f t="shared" si="12"/>
        <v>100</v>
      </c>
      <c r="T45" s="1456" t="s">
        <v>8</v>
      </c>
      <c r="U45" s="1457">
        <f t="shared" si="13"/>
        <v>100</v>
      </c>
      <c r="V45" s="1456" t="s">
        <v>8</v>
      </c>
      <c r="W45" s="1457">
        <f t="shared" si="14"/>
        <v>100</v>
      </c>
      <c r="X45" s="1458"/>
      <c r="Y45" s="3740"/>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40"/>
      <c r="Q46" s="1460">
        <f t="shared" si="11"/>
        <v>111</v>
      </c>
      <c r="R46" s="1461" t="s">
        <v>8</v>
      </c>
      <c r="S46" s="1462">
        <f t="shared" si="12"/>
        <v>100</v>
      </c>
      <c r="T46" s="1461" t="s">
        <v>8</v>
      </c>
      <c r="U46" s="1462">
        <f t="shared" si="13"/>
        <v>100</v>
      </c>
      <c r="V46" s="1461" t="s">
        <v>8</v>
      </c>
      <c r="W46" s="1462">
        <f t="shared" si="14"/>
        <v>100</v>
      </c>
      <c r="X46" s="1455"/>
      <c r="Y46" s="3740"/>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5"/>
      <c r="Q47" s="1460">
        <f t="shared" si="11"/>
        <v>111</v>
      </c>
      <c r="R47" s="1461" t="s">
        <v>8</v>
      </c>
      <c r="S47" s="1462">
        <f t="shared" si="12"/>
        <v>100</v>
      </c>
      <c r="T47" s="1461" t="s">
        <v>8</v>
      </c>
      <c r="U47" s="1462">
        <f t="shared" si="13"/>
        <v>100</v>
      </c>
      <c r="V47" s="1461" t="s">
        <v>8</v>
      </c>
      <c r="W47" s="1462">
        <f t="shared" si="14"/>
        <v>100</v>
      </c>
      <c r="X47" s="1455"/>
      <c r="Y47" s="3835"/>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42" t="str">
        <f>A48</f>
        <v>成交单价（元/平方米）</v>
      </c>
      <c r="Q48" s="3735"/>
      <c r="R48" s="3834">
        <f>E48</f>
        <v>0</v>
      </c>
      <c r="S48" s="3834"/>
      <c r="T48" s="3834">
        <f>G48</f>
        <v>0</v>
      </c>
      <c r="U48" s="3834"/>
      <c r="V48" s="3834">
        <f>I48</f>
        <v>0</v>
      </c>
      <c r="W48" s="3834"/>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42" t="str">
        <f>A49</f>
        <v>比较价格（元/平方米）</v>
      </c>
      <c r="Q49" s="3735"/>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81" t="str">
        <f>A50</f>
        <v>估价对象XX用房的比较价格（楼面单价，元/平方米）</v>
      </c>
      <c r="Q50" s="3742"/>
      <c r="R50" s="3833" t="e">
        <f>IF(F1="售价",ROUND(IF(D49="简单平均",AVERAGE(R49:V49),R49*F49+T49*H49+V49*J49),0),ROUND(IF(D49="简单平均",AVERAGE(R49:V49),R49*F49+T49*H49+V49*J49),1))</f>
        <v>#DIV/0!</v>
      </c>
      <c r="S50" s="3833"/>
      <c r="T50" s="3833"/>
      <c r="U50" s="3833"/>
      <c r="V50" s="3833"/>
      <c r="W50" s="3833"/>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43" t="s">
        <v>499</v>
      </c>
      <c r="D4" s="3744"/>
      <c r="E4" s="3769" t="s">
        <v>500</v>
      </c>
      <c r="F4" s="3770"/>
      <c r="G4" s="3743" t="s">
        <v>501</v>
      </c>
      <c r="H4" s="3744"/>
      <c r="I4" s="3743" t="s">
        <v>502</v>
      </c>
      <c r="J4" s="3744"/>
      <c r="K4" s="489"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25"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27"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37" t="s">
        <v>517</v>
      </c>
      <c r="Q15" s="1460" t="str">
        <f t="shared" si="6"/>
        <v>产业集聚程度</v>
      </c>
      <c r="R15" s="1461" t="s">
        <v>8</v>
      </c>
      <c r="S15" s="1462">
        <f t="shared" si="0"/>
        <v>100</v>
      </c>
      <c r="T15" s="1461" t="s">
        <v>8</v>
      </c>
      <c r="U15" s="1462">
        <f t="shared" si="1"/>
        <v>100</v>
      </c>
      <c r="V15" s="1461" t="s">
        <v>8</v>
      </c>
      <c r="W15" s="1462">
        <f t="shared" si="2"/>
        <v>100</v>
      </c>
      <c r="X15" s="1455"/>
      <c r="Y15" s="3737"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38"/>
      <c r="Q22" s="2375"/>
      <c r="R22" s="1461"/>
      <c r="S22" s="1462"/>
      <c r="T22" s="1461"/>
      <c r="U22" s="1462"/>
      <c r="V22" s="1461"/>
      <c r="W22" s="1462"/>
      <c r="X22" s="2377"/>
      <c r="Y22" s="3738"/>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38"/>
      <c r="Q23" s="1460" t="str">
        <f>B23</f>
        <v>环境质量</v>
      </c>
      <c r="R23" s="1461" t="s">
        <v>8</v>
      </c>
      <c r="S23" s="1462">
        <f>F23</f>
        <v>100</v>
      </c>
      <c r="T23" s="1461" t="s">
        <v>8</v>
      </c>
      <c r="U23" s="1462">
        <f>H23</f>
        <v>100</v>
      </c>
      <c r="V23" s="1461" t="s">
        <v>8</v>
      </c>
      <c r="W23" s="1462">
        <f>J23</f>
        <v>100</v>
      </c>
      <c r="X23" s="1455"/>
      <c r="Y23" s="3738"/>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38"/>
      <c r="Q25" s="1460">
        <f>B25</f>
        <v>111</v>
      </c>
      <c r="R25" s="1461" t="s">
        <v>8</v>
      </c>
      <c r="S25" s="1462">
        <f>F25</f>
        <v>100</v>
      </c>
      <c r="T25" s="1461" t="s">
        <v>8</v>
      </c>
      <c r="U25" s="1462">
        <f>H25</f>
        <v>100</v>
      </c>
      <c r="V25" s="1461" t="s">
        <v>8</v>
      </c>
      <c r="W25" s="1462">
        <f>J25</f>
        <v>100</v>
      </c>
      <c r="X25" s="1455"/>
      <c r="Y25" s="3738"/>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38"/>
      <c r="Q26" s="1460">
        <f t="shared" ref="Q26:Q40" si="11">B26</f>
        <v>111</v>
      </c>
      <c r="R26" s="1461" t="s">
        <v>8</v>
      </c>
      <c r="S26" s="1462">
        <f>F26</f>
        <v>100</v>
      </c>
      <c r="T26" s="1461" t="s">
        <v>8</v>
      </c>
      <c r="U26" s="1462">
        <f>H26</f>
        <v>100</v>
      </c>
      <c r="V26" s="1461" t="s">
        <v>8</v>
      </c>
      <c r="W26" s="1462">
        <f>J26</f>
        <v>100</v>
      </c>
      <c r="X26" s="1455"/>
      <c r="Y26" s="3738"/>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38"/>
      <c r="Q27" s="1096">
        <f t="shared" si="11"/>
        <v>111</v>
      </c>
      <c r="R27" s="1456" t="s">
        <v>8</v>
      </c>
      <c r="S27" s="1457">
        <f>F27</f>
        <v>100</v>
      </c>
      <c r="T27" s="1456" t="s">
        <v>8</v>
      </c>
      <c r="U27" s="1457">
        <f>H27</f>
        <v>100</v>
      </c>
      <c r="V27" s="1456" t="s">
        <v>8</v>
      </c>
      <c r="W27" s="1457">
        <f>J27</f>
        <v>100</v>
      </c>
      <c r="X27" s="1458"/>
      <c r="Y27" s="3738"/>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38"/>
      <c r="Q28" s="1460">
        <f t="shared" si="11"/>
        <v>111</v>
      </c>
      <c r="R28" s="1461" t="s">
        <v>8</v>
      </c>
      <c r="S28" s="1462">
        <f t="shared" ref="S28:S40" si="12">F28</f>
        <v>100</v>
      </c>
      <c r="T28" s="1461" t="s">
        <v>8</v>
      </c>
      <c r="U28" s="1462">
        <f t="shared" ref="U28:U40" si="13">H28</f>
        <v>100</v>
      </c>
      <c r="V28" s="1461" t="s">
        <v>8</v>
      </c>
      <c r="W28" s="1462">
        <f t="shared" ref="W28:W40" si="14">J28</f>
        <v>100</v>
      </c>
      <c r="X28" s="1455"/>
      <c r="Y28" s="3738"/>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39" t="s">
        <v>527</v>
      </c>
      <c r="Q29" s="1460" t="str">
        <f t="shared" si="11"/>
        <v>建筑类型</v>
      </c>
      <c r="R29" s="1461" t="s">
        <v>8</v>
      </c>
      <c r="S29" s="1462">
        <f t="shared" si="12"/>
        <v>100</v>
      </c>
      <c r="T29" s="1461" t="s">
        <v>8</v>
      </c>
      <c r="U29" s="1462">
        <f t="shared" si="13"/>
        <v>100</v>
      </c>
      <c r="V29" s="1461" t="s">
        <v>8</v>
      </c>
      <c r="W29" s="1462">
        <f t="shared" si="14"/>
        <v>100</v>
      </c>
      <c r="X29" s="1455"/>
      <c r="Y29" s="3740"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40"/>
      <c r="Q30" s="1489" t="str">
        <f t="shared" si="11"/>
        <v>项目建筑规模</v>
      </c>
      <c r="R30" s="1465" t="s">
        <v>8</v>
      </c>
      <c r="S30" s="1466" t="e">
        <f t="shared" si="12"/>
        <v>#N/A</v>
      </c>
      <c r="T30" s="1465" t="s">
        <v>8</v>
      </c>
      <c r="U30" s="1466" t="e">
        <f t="shared" si="13"/>
        <v>#N/A</v>
      </c>
      <c r="V30" s="1465" t="s">
        <v>8</v>
      </c>
      <c r="W30" s="1466" t="e">
        <f t="shared" si="14"/>
        <v>#N/A</v>
      </c>
      <c r="X30" s="1467"/>
      <c r="Y30" s="3740"/>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40"/>
      <c r="Q31" s="1460" t="str">
        <f t="shared" si="11"/>
        <v>建筑结构</v>
      </c>
      <c r="R31" s="1461" t="s">
        <v>8</v>
      </c>
      <c r="S31" s="1462">
        <f t="shared" si="12"/>
        <v>100</v>
      </c>
      <c r="T31" s="1461" t="s">
        <v>8</v>
      </c>
      <c r="U31" s="1462">
        <f t="shared" si="13"/>
        <v>100</v>
      </c>
      <c r="V31" s="1461" t="s">
        <v>8</v>
      </c>
      <c r="W31" s="1462">
        <f t="shared" si="14"/>
        <v>100</v>
      </c>
      <c r="X31" s="1455"/>
      <c r="Y31" s="3740"/>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40"/>
      <c r="Q32" s="1460" t="str">
        <f t="shared" si="11"/>
        <v>公共部分装修</v>
      </c>
      <c r="R32" s="1461" t="s">
        <v>8</v>
      </c>
      <c r="S32" s="1462">
        <f t="shared" si="12"/>
        <v>100</v>
      </c>
      <c r="T32" s="1461" t="s">
        <v>8</v>
      </c>
      <c r="U32" s="1462">
        <f t="shared" si="13"/>
        <v>100</v>
      </c>
      <c r="V32" s="1461" t="s">
        <v>8</v>
      </c>
      <c r="W32" s="1462">
        <f t="shared" si="14"/>
        <v>100</v>
      </c>
      <c r="X32" s="1455"/>
      <c r="Y32" s="3740"/>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40"/>
      <c r="Q33" s="1460" t="str">
        <f t="shared" si="11"/>
        <v>成新度</v>
      </c>
      <c r="R33" s="1461" t="s">
        <v>8</v>
      </c>
      <c r="S33" s="1462" t="e">
        <f t="shared" si="12"/>
        <v>#N/A</v>
      </c>
      <c r="T33" s="1461" t="s">
        <v>8</v>
      </c>
      <c r="U33" s="1462" t="e">
        <f t="shared" si="13"/>
        <v>#N/A</v>
      </c>
      <c r="V33" s="1461" t="s">
        <v>8</v>
      </c>
      <c r="W33" s="1462" t="e">
        <f t="shared" si="14"/>
        <v>#N/A</v>
      </c>
      <c r="X33" s="1455"/>
      <c r="Y33" s="3740"/>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40"/>
      <c r="Q34" s="1096" t="str">
        <f t="shared" si="11"/>
        <v>物业管理</v>
      </c>
      <c r="R34" s="1456" t="s">
        <v>8</v>
      </c>
      <c r="S34" s="1457">
        <f t="shared" si="12"/>
        <v>100</v>
      </c>
      <c r="T34" s="1456" t="s">
        <v>8</v>
      </c>
      <c r="U34" s="1457">
        <f t="shared" si="13"/>
        <v>100</v>
      </c>
      <c r="V34" s="1456" t="s">
        <v>8</v>
      </c>
      <c r="W34" s="1457">
        <f t="shared" si="14"/>
        <v>100</v>
      </c>
      <c r="X34" s="1458"/>
      <c r="Y34" s="3740"/>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40" t="s">
        <v>527</v>
      </c>
      <c r="Q35" s="1460" t="str">
        <f t="shared" si="11"/>
        <v>市政基础设施</v>
      </c>
      <c r="R35" s="1461" t="s">
        <v>8</v>
      </c>
      <c r="S35" s="1462">
        <f t="shared" si="12"/>
        <v>100</v>
      </c>
      <c r="T35" s="1461" t="s">
        <v>8</v>
      </c>
      <c r="U35" s="1462">
        <f t="shared" si="13"/>
        <v>100</v>
      </c>
      <c r="V35" s="1461" t="s">
        <v>8</v>
      </c>
      <c r="W35" s="1462">
        <f t="shared" si="14"/>
        <v>100</v>
      </c>
      <c r="X35" s="1455"/>
      <c r="Y35" s="3740"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40"/>
      <c r="Q36" s="1460" t="str">
        <f t="shared" si="11"/>
        <v>内部装修</v>
      </c>
      <c r="R36" s="1461" t="s">
        <v>8</v>
      </c>
      <c r="S36" s="1462">
        <f t="shared" si="12"/>
        <v>100</v>
      </c>
      <c r="T36" s="1461" t="s">
        <v>8</v>
      </c>
      <c r="U36" s="1462">
        <f t="shared" si="13"/>
        <v>100</v>
      </c>
      <c r="V36" s="1461" t="s">
        <v>8</v>
      </c>
      <c r="W36" s="1462">
        <f t="shared" si="14"/>
        <v>100</v>
      </c>
      <c r="X36" s="1455"/>
      <c r="Y36" s="3740"/>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40"/>
      <c r="Q37" s="1460" t="str">
        <f t="shared" si="11"/>
        <v>内部装修状况</v>
      </c>
      <c r="R37" s="1461" t="s">
        <v>8</v>
      </c>
      <c r="S37" s="1462">
        <f t="shared" si="12"/>
        <v>100</v>
      </c>
      <c r="T37" s="1461" t="s">
        <v>8</v>
      </c>
      <c r="U37" s="1462">
        <f t="shared" si="13"/>
        <v>100</v>
      </c>
      <c r="V37" s="1461" t="s">
        <v>8</v>
      </c>
      <c r="W37" s="1462">
        <f t="shared" si="14"/>
        <v>100</v>
      </c>
      <c r="X37" s="1455"/>
      <c r="Y37" s="3740"/>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40"/>
      <c r="Q38" s="1489">
        <f t="shared" si="11"/>
        <v>111</v>
      </c>
      <c r="R38" s="1465" t="s">
        <v>8</v>
      </c>
      <c r="S38" s="1466">
        <f t="shared" si="12"/>
        <v>100</v>
      </c>
      <c r="T38" s="1465" t="s">
        <v>8</v>
      </c>
      <c r="U38" s="1466">
        <f t="shared" si="13"/>
        <v>100</v>
      </c>
      <c r="V38" s="1465" t="s">
        <v>8</v>
      </c>
      <c r="W38" s="1466">
        <f t="shared" si="14"/>
        <v>100</v>
      </c>
      <c r="X38" s="1467"/>
      <c r="Y38" s="3740"/>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40"/>
      <c r="Q39" s="1460">
        <f t="shared" si="11"/>
        <v>111</v>
      </c>
      <c r="R39" s="1461" t="s">
        <v>8</v>
      </c>
      <c r="S39" s="1462">
        <f t="shared" si="12"/>
        <v>100</v>
      </c>
      <c r="T39" s="1461" t="s">
        <v>8</v>
      </c>
      <c r="U39" s="1462">
        <f t="shared" si="13"/>
        <v>100</v>
      </c>
      <c r="V39" s="1461" t="s">
        <v>8</v>
      </c>
      <c r="W39" s="1462">
        <f t="shared" si="14"/>
        <v>100</v>
      </c>
      <c r="X39" s="1455"/>
      <c r="Y39" s="3740"/>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5"/>
      <c r="Q40" s="1460">
        <f t="shared" si="11"/>
        <v>111</v>
      </c>
      <c r="R40" s="1461" t="s">
        <v>8</v>
      </c>
      <c r="S40" s="1462">
        <f t="shared" si="12"/>
        <v>100</v>
      </c>
      <c r="T40" s="1461" t="s">
        <v>8</v>
      </c>
      <c r="U40" s="1462">
        <f t="shared" si="13"/>
        <v>100</v>
      </c>
      <c r="V40" s="1461" t="s">
        <v>8</v>
      </c>
      <c r="W40" s="1462">
        <f t="shared" si="14"/>
        <v>100</v>
      </c>
      <c r="X40" s="1455"/>
      <c r="Y40" s="3835"/>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35" t="str">
        <f>A41</f>
        <v>成交单价（元/平方米）</v>
      </c>
      <c r="Q41" s="3735"/>
      <c r="R41" s="3834">
        <f>E41</f>
        <v>0</v>
      </c>
      <c r="S41" s="3834"/>
      <c r="T41" s="3834">
        <f>G41</f>
        <v>0</v>
      </c>
      <c r="U41" s="3834"/>
      <c r="V41" s="3834">
        <f>I41</f>
        <v>0</v>
      </c>
      <c r="W41" s="3834"/>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35" t="str">
        <f>A42</f>
        <v>比较价格（元/平方米）</v>
      </c>
      <c r="Q42" s="3735"/>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41" t="str">
        <f>A43</f>
        <v>估价对象XX用房的比较价格（楼面单价，元/平方米）</v>
      </c>
      <c r="Q43" s="3742"/>
      <c r="R43" s="3833" t="e">
        <f>IF(F1="售价",ROUND(IF(D42="简单平均",AVERAGE(R42:V42),R42*F42+T42*H42+V42*J42),0),ROUND(IF(D42="简单平均",AVERAGE(R42:V42),R42*F42+T42*H42+V42*J42),1))</f>
        <v>#DIV/0!</v>
      </c>
      <c r="S43" s="3833"/>
      <c r="T43" s="3833"/>
      <c r="U43" s="3833"/>
      <c r="V43" s="3833"/>
      <c r="W43" s="3833"/>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3" t="s">
        <v>774</v>
      </c>
      <c r="D4" s="3744"/>
      <c r="E4" s="3743" t="s">
        <v>775</v>
      </c>
      <c r="F4" s="3744"/>
      <c r="G4" s="3743" t="s">
        <v>776</v>
      </c>
      <c r="H4" s="3744"/>
      <c r="I4" s="3743" t="s">
        <v>777</v>
      </c>
      <c r="J4" s="3744"/>
      <c r="K4" s="489" t="s">
        <v>778</v>
      </c>
      <c r="L4" s="1964"/>
      <c r="M4" s="1965"/>
      <c r="N4" s="1965"/>
      <c r="O4" s="1965"/>
      <c r="P4" s="3745" t="s">
        <v>779</v>
      </c>
      <c r="Q4" s="3746"/>
      <c r="R4" s="3729" t="s">
        <v>775</v>
      </c>
      <c r="S4" s="3730"/>
      <c r="T4" s="3729" t="s">
        <v>776</v>
      </c>
      <c r="U4" s="3730"/>
      <c r="V4" s="3751" t="s">
        <v>777</v>
      </c>
      <c r="W4" s="3751"/>
      <c r="X4" s="1455"/>
      <c r="Y4" s="3729" t="s">
        <v>779</v>
      </c>
      <c r="Z4" s="3730"/>
      <c r="AA4" s="3724" t="s">
        <v>775</v>
      </c>
      <c r="AB4" s="3725" t="s">
        <v>776</v>
      </c>
      <c r="AC4" s="3724" t="s">
        <v>777</v>
      </c>
    </row>
    <row r="5" spans="1:29" ht="15">
      <c r="A5" s="490"/>
      <c r="B5" s="491"/>
      <c r="C5" s="3754" t="s">
        <v>2683</v>
      </c>
      <c r="D5" s="3755"/>
      <c r="E5" s="3754" t="s">
        <v>2684</v>
      </c>
      <c r="F5" s="3755"/>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56" t="s">
        <v>2687</v>
      </c>
      <c r="F6" s="3757"/>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27" t="s">
        <v>507</v>
      </c>
      <c r="Q7" s="3736"/>
      <c r="R7" s="1456" t="s">
        <v>8</v>
      </c>
      <c r="S7" s="1457">
        <f t="shared" ref="S7:S14" si="0">F7</f>
        <v>0</v>
      </c>
      <c r="T7" s="1456" t="s">
        <v>8</v>
      </c>
      <c r="U7" s="1457">
        <f t="shared" ref="U7:U14" si="1">H7</f>
        <v>0</v>
      </c>
      <c r="V7" s="1456" t="s">
        <v>8</v>
      </c>
      <c r="W7" s="1457">
        <f t="shared" ref="W7:W14"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35" t="s">
        <v>512</v>
      </c>
      <c r="Q9" s="1096" t="str">
        <f t="shared" ref="Q9:Q14" si="6">B9</f>
        <v>用途</v>
      </c>
      <c r="R9" s="1456" t="s">
        <v>8</v>
      </c>
      <c r="S9" s="1457">
        <f t="shared" si="0"/>
        <v>100</v>
      </c>
      <c r="T9" s="1456" t="s">
        <v>8</v>
      </c>
      <c r="U9" s="1457">
        <f t="shared" si="1"/>
        <v>100</v>
      </c>
      <c r="V9" s="1456" t="s">
        <v>8</v>
      </c>
      <c r="W9" s="1457">
        <f t="shared" si="2"/>
        <v>100</v>
      </c>
      <c r="X9" s="1458"/>
      <c r="Y9" s="3687"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35"/>
      <c r="Q11" s="1096">
        <f t="shared" si="6"/>
        <v>111</v>
      </c>
      <c r="R11" s="1456" t="s">
        <v>8</v>
      </c>
      <c r="S11" s="1457">
        <f t="shared" si="0"/>
        <v>100</v>
      </c>
      <c r="T11" s="1456" t="s">
        <v>8</v>
      </c>
      <c r="U11" s="1457">
        <f t="shared" si="1"/>
        <v>100</v>
      </c>
      <c r="V11" s="1456" t="s">
        <v>8</v>
      </c>
      <c r="W11" s="1457">
        <f t="shared" si="2"/>
        <v>100</v>
      </c>
      <c r="X11" s="1458"/>
      <c r="Y11" s="3687"/>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37" t="s">
        <v>517</v>
      </c>
      <c r="Q14" s="1460" t="str">
        <f t="shared" si="6"/>
        <v>交通便捷度</v>
      </c>
      <c r="R14" s="1461" t="s">
        <v>8</v>
      </c>
      <c r="S14" s="1462">
        <f t="shared" si="0"/>
        <v>100</v>
      </c>
      <c r="T14" s="1461" t="s">
        <v>8</v>
      </c>
      <c r="U14" s="1462">
        <f t="shared" si="1"/>
        <v>100</v>
      </c>
      <c r="V14" s="1461" t="s">
        <v>8</v>
      </c>
      <c r="W14" s="1462">
        <f t="shared" si="2"/>
        <v>100</v>
      </c>
      <c r="X14" s="1455"/>
      <c r="Y14" s="3737"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38"/>
      <c r="Q15" s="1460"/>
      <c r="R15" s="1461"/>
      <c r="S15" s="1462"/>
      <c r="T15" s="1461"/>
      <c r="U15" s="1462"/>
      <c r="V15" s="1461"/>
      <c r="W15" s="1462"/>
      <c r="X15" s="1455"/>
      <c r="Y15" s="3738"/>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38"/>
      <c r="Q16" s="1460" t="str">
        <f>B16</f>
        <v>公共配套设施</v>
      </c>
      <c r="R16" s="1461" t="s">
        <v>8</v>
      </c>
      <c r="S16" s="1462">
        <f>F16</f>
        <v>100</v>
      </c>
      <c r="T16" s="1461" t="s">
        <v>8</v>
      </c>
      <c r="U16" s="1462">
        <f>H16</f>
        <v>100</v>
      </c>
      <c r="V16" s="1461" t="s">
        <v>8</v>
      </c>
      <c r="W16" s="1462">
        <f>J16</f>
        <v>100</v>
      </c>
      <c r="X16" s="1455"/>
      <c r="Y16" s="3738"/>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38"/>
      <c r="Q17" s="1460"/>
      <c r="R17" s="1461"/>
      <c r="S17" s="1462"/>
      <c r="T17" s="1461"/>
      <c r="U17" s="1462"/>
      <c r="V17" s="1461"/>
      <c r="W17" s="1462"/>
      <c r="X17" s="1455"/>
      <c r="Y17" s="3738"/>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38"/>
      <c r="Q18" s="2375" t="str">
        <f>B18</f>
        <v>基础设施水平</v>
      </c>
      <c r="R18" s="1461" t="s">
        <v>8</v>
      </c>
      <c r="S18" s="1462">
        <f>F18</f>
        <v>100</v>
      </c>
      <c r="T18" s="1461" t="s">
        <v>8</v>
      </c>
      <c r="U18" s="1462">
        <f>H18</f>
        <v>100</v>
      </c>
      <c r="V18" s="1461" t="s">
        <v>8</v>
      </c>
      <c r="W18" s="1462">
        <f>J18</f>
        <v>100</v>
      </c>
      <c r="X18" s="2377"/>
      <c r="Y18" s="3738"/>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38"/>
      <c r="Q19" s="2375"/>
      <c r="R19" s="1461"/>
      <c r="S19" s="1462"/>
      <c r="T19" s="1461"/>
      <c r="U19" s="1462"/>
      <c r="V19" s="1461"/>
      <c r="W19" s="1462"/>
      <c r="X19" s="2377"/>
      <c r="Y19" s="3738"/>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38"/>
      <c r="Q20" s="1460" t="str">
        <f>B20</f>
        <v>自然及人文环境</v>
      </c>
      <c r="R20" s="1461" t="s">
        <v>8</v>
      </c>
      <c r="S20" s="1462">
        <f>F20</f>
        <v>100</v>
      </c>
      <c r="T20" s="1461" t="s">
        <v>8</v>
      </c>
      <c r="U20" s="1462">
        <f>H20</f>
        <v>100</v>
      </c>
      <c r="V20" s="1461" t="s">
        <v>8</v>
      </c>
      <c r="W20" s="1462">
        <f>J20</f>
        <v>100</v>
      </c>
      <c r="X20" s="1455"/>
      <c r="Y20" s="3738"/>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38"/>
      <c r="Q21" s="1460"/>
      <c r="R21" s="1461"/>
      <c r="S21" s="1462"/>
      <c r="T21" s="1461"/>
      <c r="U21" s="1462"/>
      <c r="V21" s="1461"/>
      <c r="W21" s="1462"/>
      <c r="X21" s="1455"/>
      <c r="Y21" s="3738"/>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38"/>
      <c r="Q22" s="1460" t="str">
        <f>B22</f>
        <v>楼层</v>
      </c>
      <c r="R22" s="1461" t="s">
        <v>8</v>
      </c>
      <c r="S22" s="1462">
        <f>F22</f>
        <v>100</v>
      </c>
      <c r="T22" s="1461" t="s">
        <v>8</v>
      </c>
      <c r="U22" s="1462">
        <f>H22</f>
        <v>100</v>
      </c>
      <c r="V22" s="1461" t="s">
        <v>8</v>
      </c>
      <c r="W22" s="1462">
        <f>J22</f>
        <v>100</v>
      </c>
      <c r="X22" s="1455"/>
      <c r="Y22" s="3738"/>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38"/>
      <c r="Q23" s="1460">
        <f>B23</f>
        <v>111</v>
      </c>
      <c r="R23" s="1461" t="s">
        <v>8</v>
      </c>
      <c r="S23" s="1462">
        <f>F23</f>
        <v>100</v>
      </c>
      <c r="T23" s="1461" t="s">
        <v>8</v>
      </c>
      <c r="U23" s="1462">
        <f>H23</f>
        <v>100</v>
      </c>
      <c r="V23" s="1461" t="s">
        <v>8</v>
      </c>
      <c r="W23" s="1462">
        <f>J23</f>
        <v>100</v>
      </c>
      <c r="X23" s="1455"/>
      <c r="Y23" s="3738"/>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38"/>
      <c r="Q24" s="1460">
        <f t="shared" ref="Q24:Q36" si="11">B24</f>
        <v>111</v>
      </c>
      <c r="R24" s="1461" t="s">
        <v>8</v>
      </c>
      <c r="S24" s="1462">
        <f>F24</f>
        <v>100</v>
      </c>
      <c r="T24" s="1461" t="s">
        <v>8</v>
      </c>
      <c r="U24" s="1462">
        <f>H24</f>
        <v>100</v>
      </c>
      <c r="V24" s="1461" t="s">
        <v>8</v>
      </c>
      <c r="W24" s="1462">
        <f>J24</f>
        <v>100</v>
      </c>
      <c r="X24" s="1455"/>
      <c r="Y24" s="3738"/>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38"/>
      <c r="Q25" s="1096">
        <f t="shared" si="11"/>
        <v>111</v>
      </c>
      <c r="R25" s="1456" t="s">
        <v>8</v>
      </c>
      <c r="S25" s="1457">
        <f>F25</f>
        <v>100</v>
      </c>
      <c r="T25" s="1456" t="s">
        <v>8</v>
      </c>
      <c r="U25" s="1457">
        <f>H25</f>
        <v>100</v>
      </c>
      <c r="V25" s="1456" t="s">
        <v>8</v>
      </c>
      <c r="W25" s="1457">
        <f>J25</f>
        <v>100</v>
      </c>
      <c r="X25" s="1458"/>
      <c r="Y25" s="3738"/>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39"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40"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40"/>
      <c r="Q27" s="1489" t="str">
        <f t="shared" si="11"/>
        <v>项目停车位配比</v>
      </c>
      <c r="R27" s="1465" t="s">
        <v>8</v>
      </c>
      <c r="S27" s="1466">
        <f t="shared" si="12"/>
        <v>100</v>
      </c>
      <c r="T27" s="1465" t="s">
        <v>8</v>
      </c>
      <c r="U27" s="1466">
        <f t="shared" si="13"/>
        <v>100</v>
      </c>
      <c r="V27" s="1465" t="s">
        <v>8</v>
      </c>
      <c r="W27" s="1466">
        <f t="shared" si="14"/>
        <v>100</v>
      </c>
      <c r="X27" s="1467"/>
      <c r="Y27" s="3740"/>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40"/>
      <c r="Q28" s="1460" t="str">
        <f t="shared" si="11"/>
        <v>公共部分装修</v>
      </c>
      <c r="R28" s="1461" t="s">
        <v>8</v>
      </c>
      <c r="S28" s="1462">
        <f t="shared" si="12"/>
        <v>100</v>
      </c>
      <c r="T28" s="1461" t="s">
        <v>8</v>
      </c>
      <c r="U28" s="1462">
        <f t="shared" si="13"/>
        <v>100</v>
      </c>
      <c r="V28" s="1461" t="s">
        <v>8</v>
      </c>
      <c r="W28" s="1462">
        <f t="shared" si="14"/>
        <v>100</v>
      </c>
      <c r="X28" s="1455"/>
      <c r="Y28" s="3740"/>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40"/>
      <c r="Q29" s="1460" t="str">
        <f t="shared" si="11"/>
        <v>成新率</v>
      </c>
      <c r="R29" s="1461" t="s">
        <v>8</v>
      </c>
      <c r="S29" s="1462" t="e">
        <f t="shared" si="12"/>
        <v>#N/A</v>
      </c>
      <c r="T29" s="1461" t="s">
        <v>8</v>
      </c>
      <c r="U29" s="1462" t="e">
        <f t="shared" si="13"/>
        <v>#N/A</v>
      </c>
      <c r="V29" s="1461" t="s">
        <v>8</v>
      </c>
      <c r="W29" s="1462" t="e">
        <f t="shared" si="14"/>
        <v>#N/A</v>
      </c>
      <c r="X29" s="1455"/>
      <c r="Y29" s="3740"/>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40"/>
      <c r="Q30" s="1460" t="str">
        <f t="shared" si="11"/>
        <v>物业等级</v>
      </c>
      <c r="R30" s="1461" t="s">
        <v>8</v>
      </c>
      <c r="S30" s="1462">
        <f t="shared" si="12"/>
        <v>100</v>
      </c>
      <c r="T30" s="1461" t="s">
        <v>8</v>
      </c>
      <c r="U30" s="1462">
        <f t="shared" si="13"/>
        <v>100</v>
      </c>
      <c r="V30" s="1461" t="s">
        <v>8</v>
      </c>
      <c r="W30" s="1462">
        <f t="shared" si="14"/>
        <v>100</v>
      </c>
      <c r="X30" s="1455"/>
      <c r="Y30" s="3740"/>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40"/>
      <c r="Q31" s="1096" t="str">
        <f t="shared" si="11"/>
        <v>停车位面积</v>
      </c>
      <c r="R31" s="1456" t="s">
        <v>8</v>
      </c>
      <c r="S31" s="1457" t="e">
        <f t="shared" si="12"/>
        <v>#N/A</v>
      </c>
      <c r="T31" s="1456" t="s">
        <v>8</v>
      </c>
      <c r="U31" s="1457" t="e">
        <f t="shared" si="13"/>
        <v>#N/A</v>
      </c>
      <c r="V31" s="1456" t="s">
        <v>8</v>
      </c>
      <c r="W31" s="1457" t="e">
        <f t="shared" si="14"/>
        <v>#N/A</v>
      </c>
      <c r="X31" s="1458"/>
      <c r="Y31" s="3740"/>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40" t="s">
        <v>527</v>
      </c>
      <c r="Q32" s="1460" t="str">
        <f t="shared" si="11"/>
        <v>车位类型</v>
      </c>
      <c r="R32" s="1461" t="s">
        <v>8</v>
      </c>
      <c r="S32" s="1462">
        <f t="shared" si="12"/>
        <v>100</v>
      </c>
      <c r="T32" s="1461" t="s">
        <v>8</v>
      </c>
      <c r="U32" s="1462">
        <f t="shared" si="13"/>
        <v>100</v>
      </c>
      <c r="V32" s="1461" t="s">
        <v>8</v>
      </c>
      <c r="W32" s="1462">
        <f t="shared" si="14"/>
        <v>100</v>
      </c>
      <c r="X32" s="1455"/>
      <c r="Y32" s="3740"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40"/>
      <c r="Q33" s="1460" t="str">
        <f t="shared" si="11"/>
        <v>是否直接入户</v>
      </c>
      <c r="R33" s="1461" t="s">
        <v>8</v>
      </c>
      <c r="S33" s="1462">
        <f t="shared" si="12"/>
        <v>100</v>
      </c>
      <c r="T33" s="1461" t="s">
        <v>8</v>
      </c>
      <c r="U33" s="1462">
        <f t="shared" si="13"/>
        <v>100</v>
      </c>
      <c r="V33" s="1461" t="s">
        <v>8</v>
      </c>
      <c r="W33" s="1462">
        <f t="shared" si="14"/>
        <v>100</v>
      </c>
      <c r="X33" s="1455"/>
      <c r="Y33" s="3740"/>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40"/>
      <c r="Q34" s="1460">
        <f t="shared" si="11"/>
        <v>111</v>
      </c>
      <c r="R34" s="1461" t="s">
        <v>8</v>
      </c>
      <c r="S34" s="1462">
        <f t="shared" si="12"/>
        <v>100</v>
      </c>
      <c r="T34" s="1461" t="s">
        <v>8</v>
      </c>
      <c r="U34" s="1462">
        <f t="shared" si="13"/>
        <v>100</v>
      </c>
      <c r="V34" s="1461" t="s">
        <v>8</v>
      </c>
      <c r="W34" s="1462">
        <f t="shared" si="14"/>
        <v>100</v>
      </c>
      <c r="X34" s="1455"/>
      <c r="Y34" s="3740"/>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40"/>
      <c r="Q35" s="1489">
        <f t="shared" si="11"/>
        <v>111</v>
      </c>
      <c r="R35" s="1465" t="s">
        <v>8</v>
      </c>
      <c r="S35" s="1466">
        <f t="shared" si="12"/>
        <v>100</v>
      </c>
      <c r="T35" s="1465" t="s">
        <v>8</v>
      </c>
      <c r="U35" s="1466">
        <f t="shared" si="13"/>
        <v>100</v>
      </c>
      <c r="V35" s="1465" t="s">
        <v>8</v>
      </c>
      <c r="W35" s="1466">
        <f t="shared" si="14"/>
        <v>100</v>
      </c>
      <c r="X35" s="1467"/>
      <c r="Y35" s="3740"/>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40"/>
      <c r="Q36" s="1460">
        <f t="shared" si="11"/>
        <v>111</v>
      </c>
      <c r="R36" s="1461" t="s">
        <v>8</v>
      </c>
      <c r="S36" s="1462">
        <f t="shared" si="12"/>
        <v>100</v>
      </c>
      <c r="T36" s="1461" t="s">
        <v>8</v>
      </c>
      <c r="U36" s="1462">
        <f t="shared" si="13"/>
        <v>100</v>
      </c>
      <c r="V36" s="1461" t="s">
        <v>8</v>
      </c>
      <c r="W36" s="1462">
        <f t="shared" si="14"/>
        <v>100</v>
      </c>
      <c r="X36" s="1455"/>
      <c r="Y36" s="3740"/>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35" t="str">
        <f>A37</f>
        <v>成交单价</v>
      </c>
      <c r="Q37" s="3735"/>
      <c r="R37" s="3834">
        <f>E37</f>
        <v>0</v>
      </c>
      <c r="S37" s="3834"/>
      <c r="T37" s="3834">
        <f>G37</f>
        <v>0</v>
      </c>
      <c r="U37" s="3834"/>
      <c r="V37" s="3834">
        <f>I37</f>
        <v>0</v>
      </c>
      <c r="W37" s="3834"/>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35" t="str">
        <f>A38</f>
        <v>比较价格（元/平方米）</v>
      </c>
      <c r="Q38" s="3735"/>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41" t="str">
        <f>A39</f>
        <v>估价对象XX用房的比较价格（楼面单价，元/平方米）</v>
      </c>
      <c r="Q39" s="3742"/>
      <c r="R39" s="3833" t="e">
        <f>IF(F1="售价",ROUND(IF(D38="简单平均",AVERAGE(R38:W38),R38*F38+T38*H38+V38*J38),0),ROUND(IF(D38="简单平均",AVERAGE(R38:V38),R38*F38+T38*H38+V38*J38),1))</f>
        <v>#DIV/0!</v>
      </c>
      <c r="S39" s="3833"/>
      <c r="T39" s="3833"/>
      <c r="U39" s="3833"/>
      <c r="V39" s="3833"/>
      <c r="W39" s="3833"/>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3" t="s">
        <v>774</v>
      </c>
      <c r="D4" s="3744"/>
      <c r="E4" s="3769" t="s">
        <v>775</v>
      </c>
      <c r="F4" s="3770"/>
      <c r="G4" s="3743" t="s">
        <v>776</v>
      </c>
      <c r="H4" s="3744"/>
      <c r="I4" s="3743" t="s">
        <v>777</v>
      </c>
      <c r="J4" s="3744"/>
      <c r="K4" s="489" t="s">
        <v>778</v>
      </c>
      <c r="L4" s="1964"/>
      <c r="M4" s="1965"/>
      <c r="N4" s="1965"/>
      <c r="O4" s="1965"/>
      <c r="P4" s="3745" t="s">
        <v>779</v>
      </c>
      <c r="Q4" s="3746"/>
      <c r="R4" s="3729" t="s">
        <v>775</v>
      </c>
      <c r="S4" s="3730"/>
      <c r="T4" s="3729" t="s">
        <v>776</v>
      </c>
      <c r="U4" s="3730"/>
      <c r="V4" s="3751" t="s">
        <v>777</v>
      </c>
      <c r="W4" s="3751"/>
      <c r="X4" s="1455"/>
      <c r="Y4" s="3729" t="s">
        <v>779</v>
      </c>
      <c r="Z4" s="3730"/>
      <c r="AA4" s="3724" t="s">
        <v>775</v>
      </c>
      <c r="AB4" s="3725" t="s">
        <v>776</v>
      </c>
      <c r="AC4" s="3724" t="s">
        <v>777</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27" t="s">
        <v>507</v>
      </c>
      <c r="Q7" s="3736"/>
      <c r="R7" s="1456" t="s">
        <v>8</v>
      </c>
      <c r="S7" s="1457">
        <f t="shared" ref="S7:S14" si="0">F7</f>
        <v>0</v>
      </c>
      <c r="T7" s="1456" t="s">
        <v>8</v>
      </c>
      <c r="U7" s="1457">
        <f t="shared" ref="U7:U14" si="1">H7</f>
        <v>0</v>
      </c>
      <c r="V7" s="1456" t="s">
        <v>8</v>
      </c>
      <c r="W7" s="1457">
        <f t="shared" ref="W7:W14"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35" t="s">
        <v>512</v>
      </c>
      <c r="Q9" s="1096" t="str">
        <f t="shared" ref="Q9:Q14" si="6">B9</f>
        <v>用途</v>
      </c>
      <c r="R9" s="1456" t="s">
        <v>8</v>
      </c>
      <c r="S9" s="1457">
        <f t="shared" si="0"/>
        <v>100</v>
      </c>
      <c r="T9" s="1456" t="s">
        <v>8</v>
      </c>
      <c r="U9" s="1457">
        <f t="shared" si="1"/>
        <v>100</v>
      </c>
      <c r="V9" s="1456" t="s">
        <v>8</v>
      </c>
      <c r="W9" s="1457">
        <f t="shared" si="2"/>
        <v>100</v>
      </c>
      <c r="X9" s="1458"/>
      <c r="Y9" s="3687"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35"/>
      <c r="Q11" s="1096">
        <f t="shared" si="6"/>
        <v>111</v>
      </c>
      <c r="R11" s="1456" t="s">
        <v>8</v>
      </c>
      <c r="S11" s="1457">
        <f t="shared" si="0"/>
        <v>100</v>
      </c>
      <c r="T11" s="1456" t="s">
        <v>8</v>
      </c>
      <c r="U11" s="1457">
        <f t="shared" si="1"/>
        <v>100</v>
      </c>
      <c r="V11" s="1456" t="s">
        <v>8</v>
      </c>
      <c r="W11" s="1457">
        <f t="shared" si="2"/>
        <v>100</v>
      </c>
      <c r="X11" s="1458"/>
      <c r="Y11" s="3687"/>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37" t="s">
        <v>517</v>
      </c>
      <c r="Q14" s="1460" t="str">
        <f t="shared" si="6"/>
        <v>交通便捷度</v>
      </c>
      <c r="R14" s="1461" t="s">
        <v>8</v>
      </c>
      <c r="S14" s="1462">
        <f t="shared" si="0"/>
        <v>100</v>
      </c>
      <c r="T14" s="1461" t="s">
        <v>8</v>
      </c>
      <c r="U14" s="1462">
        <f t="shared" si="1"/>
        <v>100</v>
      </c>
      <c r="V14" s="1461" t="s">
        <v>8</v>
      </c>
      <c r="W14" s="1462">
        <f t="shared" si="2"/>
        <v>100</v>
      </c>
      <c r="X14" s="1455"/>
      <c r="Y14" s="3737"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38"/>
      <c r="Q15" s="1460"/>
      <c r="R15" s="1461"/>
      <c r="S15" s="1462"/>
      <c r="T15" s="1461"/>
      <c r="U15" s="1462"/>
      <c r="V15" s="1461"/>
      <c r="W15" s="1462"/>
      <c r="X15" s="1455"/>
      <c r="Y15" s="3738"/>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38"/>
      <c r="Q16" s="1460" t="str">
        <f>B16</f>
        <v>公共配套设施</v>
      </c>
      <c r="R16" s="1461" t="s">
        <v>8</v>
      </c>
      <c r="S16" s="1462">
        <f>F16</f>
        <v>100</v>
      </c>
      <c r="T16" s="1461" t="s">
        <v>8</v>
      </c>
      <c r="U16" s="1462">
        <f>H16</f>
        <v>100</v>
      </c>
      <c r="V16" s="1461" t="s">
        <v>8</v>
      </c>
      <c r="W16" s="1462">
        <f>J16</f>
        <v>100</v>
      </c>
      <c r="X16" s="1455"/>
      <c r="Y16" s="3738"/>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38"/>
      <c r="Q17" s="1460"/>
      <c r="R17" s="1461"/>
      <c r="S17" s="1462"/>
      <c r="T17" s="1461"/>
      <c r="U17" s="1462"/>
      <c r="V17" s="1461"/>
      <c r="W17" s="1462"/>
      <c r="X17" s="1455"/>
      <c r="Y17" s="3738"/>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38"/>
      <c r="Q18" s="2375" t="str">
        <f>B18</f>
        <v>基础设施水平</v>
      </c>
      <c r="R18" s="1461" t="s">
        <v>8</v>
      </c>
      <c r="S18" s="1462">
        <f>F18</f>
        <v>100</v>
      </c>
      <c r="T18" s="1461" t="s">
        <v>8</v>
      </c>
      <c r="U18" s="1462">
        <f>H18</f>
        <v>100</v>
      </c>
      <c r="V18" s="1461" t="s">
        <v>8</v>
      </c>
      <c r="W18" s="1462">
        <f>J18</f>
        <v>100</v>
      </c>
      <c r="X18" s="2377"/>
      <c r="Y18" s="3738"/>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38"/>
      <c r="Q19" s="2375"/>
      <c r="R19" s="1461"/>
      <c r="S19" s="1462"/>
      <c r="T19" s="1461"/>
      <c r="U19" s="1462"/>
      <c r="V19" s="1461"/>
      <c r="W19" s="1462"/>
      <c r="X19" s="2377"/>
      <c r="Y19" s="3738"/>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38"/>
      <c r="Q20" s="1460" t="str">
        <f>B20</f>
        <v>自然及人文环境</v>
      </c>
      <c r="R20" s="1461" t="s">
        <v>8</v>
      </c>
      <c r="S20" s="1462">
        <f>F20</f>
        <v>100</v>
      </c>
      <c r="T20" s="1461" t="s">
        <v>8</v>
      </c>
      <c r="U20" s="1462">
        <f>H20</f>
        <v>100</v>
      </c>
      <c r="V20" s="1461" t="s">
        <v>8</v>
      </c>
      <c r="W20" s="1462">
        <f>J20</f>
        <v>100</v>
      </c>
      <c r="X20" s="1455"/>
      <c r="Y20" s="3738"/>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38"/>
      <c r="Q21" s="1460"/>
      <c r="R21" s="1461"/>
      <c r="S21" s="1462"/>
      <c r="T21" s="1461"/>
      <c r="U21" s="1462"/>
      <c r="V21" s="1461"/>
      <c r="W21" s="1462"/>
      <c r="X21" s="1455"/>
      <c r="Y21" s="3738"/>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38"/>
      <c r="Q22" s="1460" t="str">
        <f>B22</f>
        <v>楼层</v>
      </c>
      <c r="R22" s="1461" t="s">
        <v>8</v>
      </c>
      <c r="S22" s="1462">
        <f>F22</f>
        <v>100</v>
      </c>
      <c r="T22" s="1461" t="s">
        <v>8</v>
      </c>
      <c r="U22" s="1462">
        <f>H22</f>
        <v>100</v>
      </c>
      <c r="V22" s="1461" t="s">
        <v>8</v>
      </c>
      <c r="W22" s="1462">
        <f>J22</f>
        <v>100</v>
      </c>
      <c r="X22" s="1455"/>
      <c r="Y22" s="3738"/>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38"/>
      <c r="Q23" s="1460">
        <f>B23</f>
        <v>111</v>
      </c>
      <c r="R23" s="1461" t="s">
        <v>8</v>
      </c>
      <c r="S23" s="1462">
        <f>F23</f>
        <v>100</v>
      </c>
      <c r="T23" s="1461" t="s">
        <v>8</v>
      </c>
      <c r="U23" s="1462">
        <f>H23</f>
        <v>100</v>
      </c>
      <c r="V23" s="1461" t="s">
        <v>8</v>
      </c>
      <c r="W23" s="1462">
        <f>J23</f>
        <v>100</v>
      </c>
      <c r="X23" s="1455"/>
      <c r="Y23" s="3738"/>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38"/>
      <c r="Q24" s="1460">
        <f t="shared" ref="Q24:Q34" si="11">B24</f>
        <v>111</v>
      </c>
      <c r="R24" s="1461" t="s">
        <v>8</v>
      </c>
      <c r="S24" s="1462">
        <f>F24</f>
        <v>100</v>
      </c>
      <c r="T24" s="1461" t="s">
        <v>8</v>
      </c>
      <c r="U24" s="1462">
        <f>H24</f>
        <v>100</v>
      </c>
      <c r="V24" s="1461" t="s">
        <v>8</v>
      </c>
      <c r="W24" s="1462">
        <f>J24</f>
        <v>100</v>
      </c>
      <c r="X24" s="1455"/>
      <c r="Y24" s="3738"/>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38"/>
      <c r="Q25" s="1096">
        <f t="shared" si="11"/>
        <v>111</v>
      </c>
      <c r="R25" s="1456" t="s">
        <v>8</v>
      </c>
      <c r="S25" s="1457">
        <f>F25</f>
        <v>100</v>
      </c>
      <c r="T25" s="1456" t="s">
        <v>8</v>
      </c>
      <c r="U25" s="1457">
        <f>H25</f>
        <v>100</v>
      </c>
      <c r="V25" s="1456" t="s">
        <v>8</v>
      </c>
      <c r="W25" s="1457">
        <f>J25</f>
        <v>100</v>
      </c>
      <c r="X25" s="1458"/>
      <c r="Y25" s="3738"/>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39"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40"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40"/>
      <c r="Q27" s="1489" t="str">
        <f t="shared" si="11"/>
        <v>成新率</v>
      </c>
      <c r="R27" s="1465" t="s">
        <v>8</v>
      </c>
      <c r="S27" s="1466" t="e">
        <f t="shared" si="12"/>
        <v>#N/A</v>
      </c>
      <c r="T27" s="1465" t="s">
        <v>8</v>
      </c>
      <c r="U27" s="1466" t="e">
        <f t="shared" si="13"/>
        <v>#N/A</v>
      </c>
      <c r="V27" s="1465" t="s">
        <v>8</v>
      </c>
      <c r="W27" s="1466" t="e">
        <f t="shared" si="14"/>
        <v>#N/A</v>
      </c>
      <c r="X27" s="1467"/>
      <c r="Y27" s="3740"/>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40"/>
      <c r="Q28" s="1460" t="str">
        <f t="shared" si="11"/>
        <v>物业等级</v>
      </c>
      <c r="R28" s="1461" t="s">
        <v>8</v>
      </c>
      <c r="S28" s="1462">
        <f t="shared" si="12"/>
        <v>100</v>
      </c>
      <c r="T28" s="1461" t="s">
        <v>8</v>
      </c>
      <c r="U28" s="1462">
        <f t="shared" si="13"/>
        <v>100</v>
      </c>
      <c r="V28" s="1461" t="s">
        <v>8</v>
      </c>
      <c r="W28" s="1462">
        <f t="shared" si="14"/>
        <v>100</v>
      </c>
      <c r="X28" s="1455"/>
      <c r="Y28" s="3740"/>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40"/>
      <c r="Q29" s="1460" t="str">
        <f t="shared" si="11"/>
        <v>有无电梯</v>
      </c>
      <c r="R29" s="1461" t="s">
        <v>8</v>
      </c>
      <c r="S29" s="1462">
        <f t="shared" si="12"/>
        <v>100</v>
      </c>
      <c r="T29" s="1461" t="s">
        <v>8</v>
      </c>
      <c r="U29" s="1462">
        <f t="shared" si="13"/>
        <v>100</v>
      </c>
      <c r="V29" s="1461" t="s">
        <v>8</v>
      </c>
      <c r="W29" s="1462">
        <f t="shared" si="14"/>
        <v>100</v>
      </c>
      <c r="X29" s="1455"/>
      <c r="Y29" s="3740"/>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40"/>
      <c r="Q30" s="1460" t="str">
        <f t="shared" si="11"/>
        <v>建筑面积</v>
      </c>
      <c r="R30" s="1461" t="s">
        <v>8</v>
      </c>
      <c r="S30" s="1462" t="e">
        <f t="shared" si="12"/>
        <v>#N/A</v>
      </c>
      <c r="T30" s="1461" t="s">
        <v>8</v>
      </c>
      <c r="U30" s="1462" t="e">
        <f t="shared" si="13"/>
        <v>#N/A</v>
      </c>
      <c r="V30" s="1461" t="s">
        <v>8</v>
      </c>
      <c r="W30" s="1462" t="e">
        <f t="shared" si="14"/>
        <v>#N/A</v>
      </c>
      <c r="X30" s="1455"/>
      <c r="Y30" s="3740"/>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40"/>
      <c r="Q31" s="1096" t="str">
        <f t="shared" si="11"/>
        <v>是否封闭</v>
      </c>
      <c r="R31" s="1456" t="s">
        <v>8</v>
      </c>
      <c r="S31" s="1457">
        <f t="shared" si="12"/>
        <v>100</v>
      </c>
      <c r="T31" s="1456" t="s">
        <v>8</v>
      </c>
      <c r="U31" s="1457">
        <f t="shared" si="13"/>
        <v>100</v>
      </c>
      <c r="V31" s="1456" t="s">
        <v>8</v>
      </c>
      <c r="W31" s="1457">
        <f t="shared" si="14"/>
        <v>100</v>
      </c>
      <c r="X31" s="1458"/>
      <c r="Y31" s="3740"/>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40" t="s">
        <v>527</v>
      </c>
      <c r="Q32" s="1460">
        <f t="shared" si="11"/>
        <v>111</v>
      </c>
      <c r="R32" s="1461" t="s">
        <v>8</v>
      </c>
      <c r="S32" s="1462">
        <f t="shared" si="12"/>
        <v>100</v>
      </c>
      <c r="T32" s="1461" t="s">
        <v>8</v>
      </c>
      <c r="U32" s="1462">
        <f t="shared" si="13"/>
        <v>100</v>
      </c>
      <c r="V32" s="1461" t="s">
        <v>8</v>
      </c>
      <c r="W32" s="1462">
        <f t="shared" si="14"/>
        <v>100</v>
      </c>
      <c r="X32" s="1455"/>
      <c r="Y32" s="3740"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40"/>
      <c r="Q33" s="1460">
        <f t="shared" si="11"/>
        <v>111</v>
      </c>
      <c r="R33" s="1461" t="s">
        <v>8</v>
      </c>
      <c r="S33" s="1462">
        <f t="shared" si="12"/>
        <v>100</v>
      </c>
      <c r="T33" s="1461" t="s">
        <v>8</v>
      </c>
      <c r="U33" s="1462">
        <f t="shared" si="13"/>
        <v>100</v>
      </c>
      <c r="V33" s="1461" t="s">
        <v>8</v>
      </c>
      <c r="W33" s="1462">
        <f t="shared" si="14"/>
        <v>100</v>
      </c>
      <c r="X33" s="1455"/>
      <c r="Y33" s="3740"/>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40"/>
      <c r="Q34" s="1460">
        <f t="shared" si="11"/>
        <v>111</v>
      </c>
      <c r="R34" s="1461" t="s">
        <v>8</v>
      </c>
      <c r="S34" s="1462">
        <f t="shared" si="12"/>
        <v>100</v>
      </c>
      <c r="T34" s="1461" t="s">
        <v>8</v>
      </c>
      <c r="U34" s="1462">
        <f t="shared" si="13"/>
        <v>100</v>
      </c>
      <c r="V34" s="1461" t="s">
        <v>8</v>
      </c>
      <c r="W34" s="1462">
        <f t="shared" si="14"/>
        <v>100</v>
      </c>
      <c r="X34" s="1455"/>
      <c r="Y34" s="3740"/>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35" t="str">
        <f>A35</f>
        <v>成交单价（元/平方米）</v>
      </c>
      <c r="Q35" s="3735"/>
      <c r="R35" s="3834">
        <f>E35</f>
        <v>0</v>
      </c>
      <c r="S35" s="3834"/>
      <c r="T35" s="3834">
        <f>G35</f>
        <v>0</v>
      </c>
      <c r="U35" s="3834"/>
      <c r="V35" s="3834">
        <f>I35</f>
        <v>0</v>
      </c>
      <c r="W35" s="3834"/>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35" t="str">
        <f>A36</f>
        <v>比较价格（元/平方米）</v>
      </c>
      <c r="Q36" s="3735"/>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41" t="str">
        <f>A37</f>
        <v>估价对象XX用房的比较价格（楼面单价，元/平方米）</v>
      </c>
      <c r="Q37" s="3742"/>
      <c r="R37" s="3833" t="e">
        <f>IF(F1="售价",ROUND(IF(D36="简单平均",AVERAGE(R36:W36),R36*F36+T36*H36+V36*J36),0),ROUND(IF(D36="简单平均",AVERAGE(R36:V36),R36*F36+T36*H36+V36*J36),1))</f>
        <v>#DIV/0!</v>
      </c>
      <c r="S37" s="3833"/>
      <c r="T37" s="3833"/>
      <c r="U37" s="3833"/>
      <c r="V37" s="3833"/>
      <c r="W37" s="3833"/>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5" t="s">
        <v>2085</v>
      </c>
      <c r="D1" s="3886"/>
      <c r="E1" s="3886"/>
      <c r="F1" s="3886"/>
      <c r="G1" s="3886"/>
      <c r="H1" s="3886"/>
      <c r="I1" s="3886"/>
      <c r="J1" s="3886"/>
      <c r="K1" s="3886"/>
      <c r="L1" s="3886"/>
      <c r="M1" s="3886"/>
      <c r="N1" s="3886"/>
      <c r="O1" s="3886"/>
      <c r="P1" s="3886"/>
      <c r="Q1" s="3886"/>
      <c r="R1" s="3886"/>
      <c r="S1" s="3887"/>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82" t="s">
        <v>20</v>
      </c>
      <c r="D22" s="3883"/>
      <c r="E22" s="3883"/>
      <c r="F22" s="3883"/>
      <c r="G22" s="3883"/>
      <c r="H22" s="3883"/>
      <c r="I22" s="3883"/>
      <c r="J22" s="3883"/>
      <c r="K22" s="3883"/>
      <c r="L22" s="3883"/>
      <c r="M22" s="3883"/>
      <c r="N22" s="3883"/>
      <c r="O22" s="3883"/>
      <c r="P22" s="3883"/>
      <c r="Q22" s="3884"/>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2.5</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0" t="s">
        <v>1821</v>
      </c>
      <c r="B1" s="3550"/>
      <c r="C1" s="3550"/>
      <c r="D1" s="3550"/>
      <c r="E1" s="3550"/>
      <c r="F1" s="3550"/>
      <c r="G1" s="3550"/>
      <c r="H1" s="3550"/>
      <c r="I1" s="3550"/>
      <c r="J1" s="3550"/>
      <c r="K1" s="3550"/>
      <c r="L1" s="3550"/>
      <c r="M1" s="3550"/>
      <c r="N1" s="3550"/>
      <c r="O1" s="3550"/>
      <c r="P1" s="3550"/>
      <c r="Q1" s="3550"/>
      <c r="R1" s="3550"/>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51" t="s">
        <v>1812</v>
      </c>
      <c r="B3" s="3551" t="s">
        <v>2500</v>
      </c>
      <c r="C3" s="3552" t="s">
        <v>1813</v>
      </c>
      <c r="D3" s="3551" t="s">
        <v>2504</v>
      </c>
      <c r="E3" s="3554" t="s">
        <v>1814</v>
      </c>
      <c r="F3" s="3554"/>
      <c r="G3" s="3554"/>
      <c r="H3" s="3554" t="s">
        <v>1815</v>
      </c>
      <c r="I3" s="3554"/>
      <c r="J3" s="3554"/>
      <c r="K3" s="3552" t="s">
        <v>1816</v>
      </c>
      <c r="L3" s="3552" t="s">
        <v>1817</v>
      </c>
      <c r="M3" s="3551" t="s">
        <v>2501</v>
      </c>
      <c r="N3" s="3553" t="str">
        <f>"（分摊）"&amp;项目基本情况!B16&amp;"国有建设用地使用权面积/㎡"</f>
        <v>（分摊）出让国有建设用地使用权面积/㎡</v>
      </c>
      <c r="O3" s="3551" t="s">
        <v>1846</v>
      </c>
      <c r="P3" s="3552" t="s">
        <v>1826</v>
      </c>
      <c r="Q3" s="3552" t="s">
        <v>1847</v>
      </c>
      <c r="R3" s="3552" t="s">
        <v>1818</v>
      </c>
    </row>
    <row r="4" spans="1:18" ht="36.75" customHeight="1">
      <c r="A4" s="3551"/>
      <c r="B4" s="3551"/>
      <c r="C4" s="3552"/>
      <c r="D4" s="3551"/>
      <c r="E4" s="2437" t="s">
        <v>1825</v>
      </c>
      <c r="F4" s="2437" t="s">
        <v>2513</v>
      </c>
      <c r="G4" s="2437" t="s">
        <v>1819</v>
      </c>
      <c r="H4" s="2437" t="s">
        <v>1820</v>
      </c>
      <c r="I4" s="2437" t="s">
        <v>2514</v>
      </c>
      <c r="J4" s="2437" t="s">
        <v>1819</v>
      </c>
      <c r="K4" s="3552"/>
      <c r="L4" s="3552"/>
      <c r="M4" s="3551"/>
      <c r="N4" s="3553"/>
      <c r="O4" s="3551"/>
      <c r="P4" s="3552"/>
      <c r="Q4" s="3552"/>
      <c r="R4" s="3552"/>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48722.92</v>
      </c>
      <c r="O5" s="1676">
        <f>项目基本情况!C21</f>
        <v>93501.879999999961</v>
      </c>
      <c r="P5" s="1676">
        <f ca="1">结果表!E42</f>
        <v>3933</v>
      </c>
      <c r="Q5" s="1676">
        <f ca="1">结果表!D42</f>
        <v>2049</v>
      </c>
      <c r="R5" s="1677">
        <f ca="1">结果表!C42</f>
        <v>19161</v>
      </c>
    </row>
    <row r="6" spans="1:18">
      <c r="A6" s="3547" t="str">
        <f>IF(项目基本情况!B9="市场价格","——","抵押价格")</f>
        <v>抵押价格</v>
      </c>
      <c r="B6" s="3548"/>
      <c r="C6" s="3548"/>
      <c r="D6" s="3548"/>
      <c r="E6" s="3548"/>
      <c r="F6" s="3548"/>
      <c r="G6" s="3548"/>
      <c r="H6" s="3548"/>
      <c r="I6" s="3548"/>
      <c r="J6" s="3548"/>
      <c r="K6" s="3548"/>
      <c r="L6" s="3548"/>
      <c r="M6" s="3548"/>
      <c r="N6" s="3548"/>
      <c r="O6" s="3548"/>
      <c r="P6" s="3548"/>
      <c r="Q6" s="3549"/>
      <c r="R6" s="1678">
        <f ca="1">结果表!O39</f>
        <v>19161</v>
      </c>
    </row>
    <row r="7" spans="1:18">
      <c r="A7" s="3547" t="str">
        <f>IF(项目基本情况!B9="市场价格","——",IF(项目基本情况!E8="已注销及未注销","抵押担保权已注销时的抵押价格","——"))</f>
        <v>——</v>
      </c>
      <c r="B7" s="3548"/>
      <c r="C7" s="3548"/>
      <c r="D7" s="3548"/>
      <c r="E7" s="3548"/>
      <c r="F7" s="3548"/>
      <c r="G7" s="3548"/>
      <c r="H7" s="3548"/>
      <c r="I7" s="3548"/>
      <c r="J7" s="3548"/>
      <c r="K7" s="3548"/>
      <c r="L7" s="3548"/>
      <c r="M7" s="3548"/>
      <c r="N7" s="3548"/>
      <c r="O7" s="3548"/>
      <c r="P7" s="3548"/>
      <c r="Q7" s="3549"/>
      <c r="R7" s="1678" t="str">
        <f>结果表!O40</f>
        <v>——</v>
      </c>
    </row>
    <row r="8" spans="1:18">
      <c r="A8" s="3547" t="str">
        <f>IF(项目基本情况!B9="市场价格","——",项目基本情况!E9)</f>
        <v>——</v>
      </c>
      <c r="B8" s="3548"/>
      <c r="C8" s="3548"/>
      <c r="D8" s="3548"/>
      <c r="E8" s="3548"/>
      <c r="F8" s="3548"/>
      <c r="G8" s="3548"/>
      <c r="H8" s="3548"/>
      <c r="I8" s="3548"/>
      <c r="J8" s="3548"/>
      <c r="K8" s="3548"/>
      <c r="L8" s="3548"/>
      <c r="M8" s="3548"/>
      <c r="N8" s="3548"/>
      <c r="O8" s="3548"/>
      <c r="P8" s="3548"/>
      <c r="Q8" s="3549"/>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5" t="s">
        <v>1848</v>
      </c>
      <c r="B1" s="3555"/>
      <c r="C1" s="3555"/>
      <c r="D1" s="3555"/>
    </row>
    <row r="2" spans="1:4" ht="47.25" customHeight="1">
      <c r="A2" s="3559" t="str">
        <f>"1.权利限制："&amp;项目基本情况!L24&amp;"未设定租赁等其他他项权利。"</f>
        <v>1.权利限制：根据估价对象《不动产权证书》原件、《国有土地使用权》复印件，截至估价期日，估价对象抵押权未见登记。未设定租赁等其他他项权利。</v>
      </c>
      <c r="B2" s="3559"/>
      <c r="C2" s="3559"/>
      <c r="D2" s="3559"/>
    </row>
    <row r="3" spans="1:4" ht="48" customHeight="1">
      <c r="A3" s="35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5"/>
      <c r="C3" s="3555"/>
      <c r="D3" s="3555"/>
    </row>
    <row r="4" spans="1:4" ht="36.75" customHeight="1">
      <c r="A4" s="3555" t="str">
        <f>"3.估价规划限制条件：详见"&amp;项目基本情况!E21&amp;"。"</f>
        <v>3.估价规划限制条件：详见《建设工程规划许可证》[]、《出让合同》[]。</v>
      </c>
      <c r="B4" s="3555"/>
      <c r="C4" s="3555"/>
      <c r="D4" s="3555"/>
    </row>
    <row r="5" spans="1:4">
      <c r="A5" s="3558" t="s">
        <v>1849</v>
      </c>
      <c r="B5" s="3558"/>
      <c r="C5" s="3558"/>
      <c r="D5" s="3558"/>
    </row>
    <row r="6" spans="1:4">
      <c r="A6" s="3555" t="s">
        <v>1827</v>
      </c>
      <c r="B6" s="3555"/>
      <c r="C6" s="3555"/>
      <c r="D6" s="3555"/>
    </row>
    <row r="7" spans="1:4" ht="33" customHeight="1">
      <c r="A7" s="3555" t="s">
        <v>2344</v>
      </c>
      <c r="B7" s="3555"/>
      <c r="C7" s="3555"/>
      <c r="D7" s="3555"/>
    </row>
    <row r="8" spans="1:4" ht="32.25" customHeight="1">
      <c r="A8" s="35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5"/>
      <c r="C8" s="3555"/>
      <c r="D8" s="3555"/>
    </row>
    <row r="9" spans="1:4" ht="33.75" customHeight="1">
      <c r="A9" s="35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5"/>
      <c r="C9" s="3555"/>
      <c r="D9" s="3555"/>
    </row>
    <row r="10" spans="1:4">
      <c r="A10" s="3555" t="str">
        <f>IF(项目基本情况!B8="抵押","4.估价师所知悉的法定优先受偿款情况为：","——")</f>
        <v>4.估价师所知悉的法定优先受偿款情况为：</v>
      </c>
      <c r="B10" s="3555"/>
      <c r="C10" s="3555"/>
      <c r="D10" s="3555"/>
    </row>
    <row r="11" spans="1:4" ht="37.5" customHeight="1">
      <c r="A11" s="35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7"/>
      <c r="C11" s="3557"/>
      <c r="D11" s="3557"/>
    </row>
    <row r="12" spans="1:4" ht="168" customHeight="1">
      <c r="A12" s="3558" t="s">
        <v>1851</v>
      </c>
      <c r="B12" s="3558"/>
      <c r="C12" s="3558"/>
      <c r="D12" s="3558"/>
    </row>
    <row r="13" spans="1:4">
      <c r="A13" s="3556" t="s">
        <v>2515</v>
      </c>
      <c r="B13" s="3556"/>
      <c r="C13" s="3556"/>
      <c r="D13" s="3556"/>
    </row>
    <row r="14" spans="1:4">
      <c r="A14" s="3557" t="str">
        <f>IF(项目基本情况!B8="抵押","综上，"&amp;结果表!K47,"——")</f>
        <v>综上，本次评估不存在估价师知悉的法定优先受偿款</v>
      </c>
      <c r="B14" s="3557"/>
      <c r="C14" s="3557"/>
      <c r="D14" s="3557"/>
    </row>
    <row r="15" spans="1:4" ht="58.5" customHeight="1">
      <c r="A15" s="35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5"/>
      <c r="C15" s="3555"/>
      <c r="D15" s="3555"/>
    </row>
    <row r="16" spans="1:4" ht="70.5" customHeight="1">
      <c r="A16" s="35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5"/>
      <c r="C16" s="3555"/>
      <c r="D16" s="3555"/>
    </row>
    <row r="17" spans="1:4">
      <c r="A17" s="3555" t="s">
        <v>2471</v>
      </c>
      <c r="B17" s="3555"/>
      <c r="C17" s="3555"/>
      <c r="D17" s="3555"/>
    </row>
    <row r="18" spans="1:4">
      <c r="A18" s="3555" t="s">
        <v>2463</v>
      </c>
      <c r="B18" s="3555"/>
      <c r="C18" s="3555"/>
      <c r="D18" s="3555"/>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5" t="s">
        <v>2468</v>
      </c>
      <c r="B23" s="3555"/>
      <c r="C23" s="3555"/>
      <c r="D23" s="3555"/>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7" t="s">
        <v>53</v>
      </c>
      <c r="B15" s="3568" t="s">
        <v>820</v>
      </c>
      <c r="C15" s="3564"/>
    </row>
    <row r="16" spans="1:7" ht="14.25">
      <c r="A16" s="3567"/>
      <c r="B16" s="3565" t="s">
        <v>54</v>
      </c>
      <c r="C16" s="1117" t="s">
        <v>53</v>
      </c>
    </row>
    <row r="17" spans="1:3" ht="14.25">
      <c r="A17" s="3567"/>
      <c r="B17" s="3565"/>
      <c r="C17" s="1117" t="s">
        <v>55</v>
      </c>
    </row>
    <row r="18" spans="1:3" ht="14.25">
      <c r="A18" s="3567"/>
      <c r="B18" s="3565"/>
      <c r="C18" s="1117" t="s">
        <v>56</v>
      </c>
    </row>
    <row r="19" spans="1:3" ht="14.25">
      <c r="A19" s="3567"/>
      <c r="B19" s="3563" t="s">
        <v>57</v>
      </c>
      <c r="C19" s="3564"/>
    </row>
    <row r="20" spans="1:3" ht="14.25">
      <c r="A20" s="1118" t="s">
        <v>58</v>
      </c>
      <c r="B20" s="1119"/>
      <c r="C20" s="1120"/>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21" t="s">
        <v>811</v>
      </c>
    </row>
    <row r="25" spans="1:3" ht="14.25">
      <c r="A25" s="3566"/>
      <c r="B25" s="3570"/>
      <c r="C25" s="1121" t="s">
        <v>812</v>
      </c>
    </row>
    <row r="26" spans="1:3" ht="14.25">
      <c r="A26" s="3566"/>
      <c r="B26" s="3570"/>
      <c r="C26" s="1121" t="s">
        <v>813</v>
      </c>
    </row>
    <row r="27" spans="1:3" ht="14.25">
      <c r="A27" s="3566"/>
      <c r="B27" s="3570"/>
      <c r="C27" s="1121" t="s">
        <v>814</v>
      </c>
    </row>
    <row r="28" spans="1:3" ht="14.25">
      <c r="A28" s="3566"/>
      <c r="B28" s="3570"/>
      <c r="C28" s="1121" t="s">
        <v>815</v>
      </c>
    </row>
    <row r="29" spans="1:3" ht="14.25">
      <c r="A29" s="3566"/>
      <c r="B29" s="3570"/>
      <c r="C29" s="1121" t="s">
        <v>816</v>
      </c>
    </row>
    <row r="30" spans="1:3" ht="14.25">
      <c r="A30" s="3566"/>
      <c r="B30" s="3570"/>
      <c r="C30" s="1121" t="s">
        <v>817</v>
      </c>
    </row>
    <row r="31" spans="1:3" ht="14.25">
      <c r="A31" s="3566"/>
      <c r="B31" s="3570"/>
      <c r="C31" s="1121" t="s">
        <v>818</v>
      </c>
    </row>
    <row r="32" spans="1:3" ht="14.25">
      <c r="A32" s="3566"/>
      <c r="B32" s="3570"/>
      <c r="C32" s="1121" t="s">
        <v>1440</v>
      </c>
    </row>
    <row r="33" spans="1:3" ht="14.25">
      <c r="A33" s="3566"/>
      <c r="B33" s="3560" t="s">
        <v>1446</v>
      </c>
      <c r="C33" s="1121" t="s">
        <v>1441</v>
      </c>
    </row>
    <row r="34" spans="1:3" ht="14.25">
      <c r="A34" s="3566"/>
      <c r="B34" s="3561"/>
      <c r="C34" s="1126" t="s">
        <v>1442</v>
      </c>
    </row>
    <row r="35" spans="1:3" ht="14.25">
      <c r="A35" s="3566"/>
      <c r="B35" s="3561"/>
      <c r="C35" s="1127" t="s">
        <v>1443</v>
      </c>
    </row>
    <row r="36" spans="1:3" ht="14.25">
      <c r="A36" s="3566"/>
      <c r="B36" s="3561"/>
      <c r="C36" s="1127" t="s">
        <v>1444</v>
      </c>
    </row>
    <row r="37" spans="1:3" ht="14.25">
      <c r="A37" s="3566"/>
      <c r="B37" s="3562"/>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4" t="s">
        <v>1711</v>
      </c>
      <c r="B18" s="3575"/>
      <c r="C18" s="3575"/>
      <c r="D18" s="3575"/>
      <c r="E18" s="3575"/>
      <c r="F18" s="3575"/>
      <c r="G18" s="2966"/>
    </row>
    <row r="19" spans="1:7" ht="20.25" customHeight="1">
      <c r="A19" s="3571" t="s">
        <v>1712</v>
      </c>
      <c r="B19" s="3571"/>
      <c r="C19" s="3572"/>
      <c r="D19" s="3573" t="s">
        <v>1713</v>
      </c>
      <c r="E19" s="3571"/>
      <c r="F19" s="3571"/>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6"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6"/>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6"/>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6"/>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6"/>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2023-03-02T02:28:32Z</dcterms:modified>
</cp:coreProperties>
</file>